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A57DBA9C-FCB2-490C-902D-D0810C6697C3}" xr6:coauthVersionLast="47" xr6:coauthVersionMax="47" xr10:uidLastSave="{00000000-0000-0000-0000-000000000000}"/>
  <bookViews>
    <workbookView xWindow="-120" yWindow="-120" windowWidth="38640" windowHeight="21120" activeTab="2" xr2:uid="{00000000-000D-0000-FFFF-FFFF00000000}"/>
  </bookViews>
  <sheets>
    <sheet name="PROFIL" sheetId="6" r:id="rId1"/>
    <sheet name="PROGRAMME" sheetId="3" r:id="rId2"/>
    <sheet name="ENSUITE..." sheetId="4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5" i="4" l="1"/>
  <c r="M5" i="4"/>
  <c r="R5" i="4"/>
  <c r="I54" i="3"/>
  <c r="N11" i="3"/>
  <c r="N22" i="3"/>
  <c r="N33" i="3"/>
  <c r="N44" i="3"/>
  <c r="I51" i="3"/>
  <c r="I40" i="3"/>
  <c r="I29" i="3"/>
  <c r="I18" i="3"/>
  <c r="I7" i="3"/>
  <c r="T43" i="3"/>
  <c r="T32" i="3"/>
  <c r="T21" i="3"/>
  <c r="T10" i="3"/>
  <c r="U7" i="3"/>
  <c r="U18" i="3"/>
  <c r="U43" i="3"/>
  <c r="P43" i="3"/>
  <c r="U42" i="3"/>
  <c r="P42" i="3"/>
  <c r="U41" i="3"/>
  <c r="P41" i="3"/>
  <c r="U40" i="3"/>
  <c r="P40" i="3"/>
  <c r="U32" i="3"/>
  <c r="P32" i="3"/>
  <c r="U31" i="3"/>
  <c r="P31" i="3"/>
  <c r="U30" i="3"/>
  <c r="P30" i="3"/>
  <c r="U29" i="3"/>
  <c r="P29" i="3"/>
  <c r="U21" i="3"/>
  <c r="P21" i="3"/>
  <c r="U20" i="3"/>
  <c r="P20" i="3"/>
  <c r="U19" i="3"/>
  <c r="P19" i="3"/>
  <c r="P18" i="3"/>
  <c r="U10" i="3"/>
  <c r="P10" i="3"/>
  <c r="U9" i="3"/>
  <c r="P9" i="3"/>
  <c r="U8" i="3"/>
  <c r="P8" i="3"/>
  <c r="P7" i="3"/>
  <c r="I43" i="3"/>
  <c r="I32" i="3"/>
  <c r="I21" i="3"/>
  <c r="S41" i="3"/>
  <c r="S30" i="3"/>
  <c r="S19" i="3"/>
  <c r="S8" i="3"/>
  <c r="H8" i="3"/>
  <c r="N43" i="3"/>
  <c r="N32" i="3"/>
  <c r="N21" i="3"/>
  <c r="N10" i="3"/>
  <c r="I53" i="3"/>
  <c r="I42" i="3"/>
  <c r="I31" i="3"/>
  <c r="I20" i="3"/>
  <c r="I9" i="3"/>
  <c r="D54" i="3"/>
  <c r="J53" i="3"/>
  <c r="D43" i="3"/>
  <c r="J42" i="3"/>
  <c r="D32" i="3"/>
  <c r="J31" i="3"/>
  <c r="D21" i="3"/>
  <c r="J20" i="3"/>
  <c r="I10" i="3"/>
  <c r="D10" i="3"/>
  <c r="J9" i="3"/>
  <c r="R42" i="3"/>
  <c r="R31" i="3"/>
  <c r="R20" i="3"/>
  <c r="R9" i="3"/>
  <c r="H51" i="3"/>
  <c r="H40" i="3"/>
  <c r="H29" i="3"/>
  <c r="H18" i="3"/>
  <c r="H7" i="3"/>
  <c r="H52" i="3"/>
  <c r="H41" i="3"/>
  <c r="H30" i="3"/>
  <c r="H19" i="3"/>
  <c r="C56" i="3"/>
  <c r="C45" i="3"/>
  <c r="C34" i="3"/>
  <c r="C23" i="3"/>
  <c r="C12" i="3"/>
  <c r="U55" i="3"/>
  <c r="F55" i="3"/>
  <c r="F44" i="3"/>
  <c r="F33" i="3"/>
  <c r="F22" i="3"/>
  <c r="F11" i="3"/>
  <c r="F54" i="3"/>
  <c r="U53" i="3"/>
  <c r="F53" i="3"/>
  <c r="F43" i="3"/>
  <c r="F42" i="3"/>
  <c r="F32" i="3"/>
  <c r="F31" i="3"/>
  <c r="F21" i="3"/>
  <c r="F20" i="3"/>
  <c r="F10" i="3"/>
  <c r="F9" i="3"/>
  <c r="F7" i="3"/>
  <c r="F52" i="3"/>
  <c r="U51" i="3"/>
  <c r="K51" i="3"/>
  <c r="F51" i="3"/>
  <c r="F41" i="3"/>
  <c r="K40" i="3"/>
  <c r="F40" i="3"/>
  <c r="F30" i="3"/>
  <c r="K29" i="3"/>
  <c r="F29" i="3"/>
  <c r="F19" i="3"/>
  <c r="K18" i="3"/>
  <c r="F18" i="3"/>
  <c r="F8" i="3"/>
  <c r="K7" i="3"/>
  <c r="XFA40" i="6"/>
  <c r="XFD37" i="6"/>
  <c r="XFB37" i="6"/>
  <c r="XFB38" i="6" s="1"/>
  <c r="XFC40" i="6" s="1"/>
  <c r="XFA31" i="6"/>
  <c r="XFC28" i="6"/>
  <c r="XFA28" i="6"/>
  <c r="XFA19" i="6"/>
  <c r="XFD15" i="6"/>
  <c r="XFC15" i="6"/>
  <c r="XFB15" i="6"/>
  <c r="XFA9" i="6"/>
  <c r="XFA8" i="6"/>
  <c r="XFA7" i="6"/>
  <c r="XFA10" i="6" l="1"/>
  <c r="XFB10" i="6"/>
  <c r="XFB43" i="6" s="1"/>
  <c r="XFB16" i="6"/>
  <c r="XFC19" i="6" s="1"/>
</calcChain>
</file>

<file path=xl/sharedStrings.xml><?xml version="1.0" encoding="utf-8"?>
<sst xmlns="http://schemas.openxmlformats.org/spreadsheetml/2006/main" count="336" uniqueCount="123">
  <si>
    <t>Squat</t>
  </si>
  <si>
    <t>1RM</t>
  </si>
  <si>
    <t>EXERCICE</t>
  </si>
  <si>
    <t>SÉRIES</t>
  </si>
  <si>
    <t>REPS</t>
  </si>
  <si>
    <t>CHARGE</t>
  </si>
  <si>
    <t>DC</t>
  </si>
  <si>
    <t>Semaine 1</t>
  </si>
  <si>
    <t>1</t>
  </si>
  <si>
    <t>RPE6</t>
  </si>
  <si>
    <t>Tirage Horizontal</t>
  </si>
  <si>
    <t>Superset Bras</t>
  </si>
  <si>
    <t>10-20</t>
  </si>
  <si>
    <t>Facepull</t>
  </si>
  <si>
    <t>3</t>
  </si>
  <si>
    <t>4</t>
  </si>
  <si>
    <t>2</t>
  </si>
  <si>
    <t>Tirage Horizontal uni.</t>
  </si>
  <si>
    <t>Tirage Vertical</t>
  </si>
  <si>
    <t>10</t>
  </si>
  <si>
    <t>Crunch Poulie Haute</t>
  </si>
  <si>
    <t>Semaine 2</t>
  </si>
  <si>
    <t>Semaine 3</t>
  </si>
  <si>
    <t>2-3</t>
  </si>
  <si>
    <t>70%RM</t>
  </si>
  <si>
    <t>72,5%RM</t>
  </si>
  <si>
    <t>75%RM</t>
  </si>
  <si>
    <t>Semaine 4</t>
  </si>
  <si>
    <t>80%RM</t>
  </si>
  <si>
    <t>77,5%RM</t>
  </si>
  <si>
    <t>5</t>
  </si>
  <si>
    <t>kg près</t>
  </si>
  <si>
    <t>Semaine 5</t>
  </si>
  <si>
    <t>TEST</t>
  </si>
  <si>
    <t>2-6</t>
  </si>
  <si>
    <t>OU</t>
  </si>
  <si>
    <t>SDT</t>
  </si>
  <si>
    <t>https://www.atlascoaching.net</t>
  </si>
  <si>
    <t>Option 1 :</t>
  </si>
  <si>
    <t>Recommencer le programme avec votre nouvelle 1RM. (théorique ou testée)</t>
  </si>
  <si>
    <t>Reps</t>
  </si>
  <si>
    <t>Charge</t>
  </si>
  <si>
    <t>Option 2 :</t>
  </si>
  <si>
    <t>contact@atlascoaching.net</t>
  </si>
  <si>
    <t>Squat Barre Haute</t>
  </si>
  <si>
    <t>e1RM</t>
  </si>
  <si>
    <t>REPOS</t>
  </si>
  <si>
    <t>SEANCE 1</t>
  </si>
  <si>
    <t>SEANCE 17</t>
  </si>
  <si>
    <t>SEANCE 13</t>
  </si>
  <si>
    <t>SEANCE 9</t>
  </si>
  <si>
    <t>SEANCE 5</t>
  </si>
  <si>
    <t>SEANCE 2</t>
  </si>
  <si>
    <t>SEANCE 3</t>
  </si>
  <si>
    <t>SEANCE 4</t>
  </si>
  <si>
    <t>SEANCE 6</t>
  </si>
  <si>
    <t>SEANCE 10</t>
  </si>
  <si>
    <t>SEANCE 14</t>
  </si>
  <si>
    <t>SEANCE 18</t>
  </si>
  <si>
    <t>SEANCE 7</t>
  </si>
  <si>
    <t>SEANCE 11</t>
  </si>
  <si>
    <t>SEANCE 15</t>
  </si>
  <si>
    <t>SEANCE 19</t>
  </si>
  <si>
    <t>SEANCE 20</t>
  </si>
  <si>
    <t>SEANCE 16</t>
  </si>
  <si>
    <t>SEANCE 12</t>
  </si>
  <si>
    <t>SEANCE 8</t>
  </si>
  <si>
    <t>OHP</t>
  </si>
  <si>
    <t>10-12</t>
  </si>
  <si>
    <t>Tshirt Pause Bench</t>
  </si>
  <si>
    <t>RPE7</t>
  </si>
  <si>
    <t>RPE8</t>
  </si>
  <si>
    <t>RPE9</t>
  </si>
  <si>
    <t>R E P O S</t>
  </si>
  <si>
    <t>SDT :</t>
  </si>
  <si>
    <t>Pour conclure, merci d'avoir suivi ce programme. N'hésitez pas à m'envoyer vos retours et résultats :</t>
  </si>
  <si>
    <t>SQUAT</t>
  </si>
  <si>
    <t>(si vous avez réalisé l'AMRAP)</t>
  </si>
  <si>
    <r>
      <t xml:space="preserve">Nouvelles 1RM </t>
    </r>
    <r>
      <rPr>
        <u/>
        <sz val="11"/>
        <rFont val="Franklin Gothic Book"/>
        <family val="2"/>
      </rPr>
      <t>théoriques</t>
    </r>
    <r>
      <rPr>
        <sz val="11"/>
        <rFont val="Franklin Gothic Book"/>
        <family val="2"/>
      </rPr>
      <t xml:space="preserve"> :</t>
    </r>
  </si>
  <si>
    <t>- par mail :</t>
  </si>
  <si>
    <t>- par instagram :</t>
  </si>
  <si>
    <t>@atlas_pwr</t>
  </si>
  <si>
    <t>par exemple, le PROGRAMME ILIADE,</t>
  </si>
  <si>
    <t>Partir sur un nouveau programme ;</t>
  </si>
  <si>
    <t>Ou, pourquoi pas un suivi personnalisé, si ce programme vous a plu et que vous aimeriez aller plus loin.</t>
  </si>
  <si>
    <t>PROFIL :</t>
  </si>
  <si>
    <t>Sexe</t>
  </si>
  <si>
    <t>Sexe :</t>
  </si>
  <si>
    <t>Âge :</t>
  </si>
  <si>
    <t>ans</t>
  </si>
  <si>
    <t>Age</t>
  </si>
  <si>
    <t>Poids</t>
  </si>
  <si>
    <t>terre ajusté</t>
  </si>
  <si>
    <t>Taille :</t>
  </si>
  <si>
    <t>cm</t>
  </si>
  <si>
    <t>Poids :</t>
  </si>
  <si>
    <t>kg</t>
  </si>
  <si>
    <t xml:space="preserve">Total </t>
  </si>
  <si>
    <t>Arrondir les poids à :</t>
  </si>
  <si>
    <t>t pas censé voir ca bg</t>
  </si>
  <si>
    <r>
      <t xml:space="preserve">1RM </t>
    </r>
    <r>
      <rPr>
        <u/>
        <sz val="16"/>
        <rFont val="Calibri"/>
        <family val="2"/>
        <scheme val="minor"/>
      </rPr>
      <t>ACTUELLE</t>
    </r>
    <r>
      <rPr>
        <sz val="16"/>
        <rFont val="Calibri"/>
        <family val="2"/>
        <scheme val="minor"/>
      </rPr>
      <t xml:space="preserve"> :</t>
    </r>
  </si>
  <si>
    <t>KG</t>
  </si>
  <si>
    <t>recapblock1S</t>
  </si>
  <si>
    <t>Tech S</t>
  </si>
  <si>
    <t>Point difficile du mouvement :</t>
  </si>
  <si>
    <t>recapblock1B</t>
  </si>
  <si>
    <t>Tech B</t>
  </si>
  <si>
    <t>Dur B</t>
  </si>
  <si>
    <t>recapblock1D</t>
  </si>
  <si>
    <t>Tech D</t>
  </si>
  <si>
    <t>PROGRAMME ODYSSEE</t>
  </si>
  <si>
    <t>Choix d'assistance :</t>
  </si>
  <si>
    <t>Type de</t>
  </si>
  <si>
    <t>www.atlascoaching.net</t>
  </si>
  <si>
    <t>SDT SUMO</t>
  </si>
  <si>
    <t>HOMME</t>
  </si>
  <si>
    <t>DC Serré</t>
  </si>
  <si>
    <t>Tension dans pause</t>
  </si>
  <si>
    <t>SDT Deficit</t>
  </si>
  <si>
    <t>SQUAT BENCH DEADLIFT VOLUME</t>
  </si>
  <si>
    <t>Ssquat Bench TECHNIQUE</t>
  </si>
  <si>
    <t>SQUAT BENCH LOURD</t>
  </si>
  <si>
    <t>DEADLIFT LOURD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</si>
</sst>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Franklin Gothic Medium"/>
      <family val="2"/>
    </font>
    <font>
      <sz val="11"/>
      <color theme="1"/>
      <name val="Franklin Gothic Book"/>
      <family val="2"/>
    </font>
    <font>
      <sz val="11"/>
      <color theme="0"/>
      <name val="Franklin Gothic Book"/>
      <family val="2"/>
    </font>
    <font>
      <b/>
      <i/>
      <sz val="14"/>
      <color theme="1"/>
      <name val="Franklin Gothic Book"/>
      <family val="2"/>
    </font>
    <font>
      <sz val="10"/>
      <color theme="1"/>
      <name val="Franklin Gothic Book"/>
      <family val="2"/>
    </font>
    <font>
      <sz val="11"/>
      <name val="Franklin Gothic Book"/>
      <family val="2"/>
    </font>
    <font>
      <sz val="12"/>
      <color theme="1"/>
      <name val="Franklin Gothic Book"/>
      <family val="2"/>
    </font>
    <font>
      <sz val="11"/>
      <color rgb="FFFFC000"/>
      <name val="Franklin Gothic Medium"/>
      <family val="2"/>
    </font>
    <font>
      <b/>
      <i/>
      <sz val="36"/>
      <color theme="1"/>
      <name val="Franklin Gothic Book"/>
      <family val="2"/>
    </font>
    <font>
      <u/>
      <sz val="11"/>
      <name val="Franklin Gothic Book"/>
      <family val="2"/>
    </font>
    <font>
      <sz val="14"/>
      <name val="Franklin Gothic Book"/>
      <family val="2"/>
    </font>
    <font>
      <sz val="12"/>
      <name val="Franklin Gothic Book"/>
      <family val="2"/>
    </font>
    <font>
      <u/>
      <sz val="16"/>
      <name val="Franklin Gothic Book"/>
      <family val="2"/>
    </font>
    <font>
      <u/>
      <sz val="14"/>
      <name val="Franklin Gothic Book"/>
      <family val="2"/>
    </font>
    <font>
      <sz val="48"/>
      <color theme="0"/>
      <name val="Franklin Gothic Book"/>
      <family val="2"/>
    </font>
    <font>
      <sz val="16"/>
      <color theme="1"/>
      <name val="Franklin Gothic Book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name val="Franklin Gothic Demi"/>
      <family val="2"/>
    </font>
    <font>
      <b/>
      <sz val="16"/>
      <name val="Franklin Gothic Book"/>
      <family val="2"/>
    </font>
    <font>
      <u/>
      <sz val="14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2"/>
      <name val="Augustus"/>
    </font>
    <font>
      <sz val="18"/>
      <name val="Calibri"/>
      <family val="2"/>
      <scheme val="minor"/>
    </font>
    <font>
      <b/>
      <u/>
      <sz val="28"/>
      <name val="Augustus"/>
    </font>
    <font>
      <sz val="10"/>
      <color theme="1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sz val="26"/>
      <name val="Calibri"/>
      <family val="2"/>
      <scheme val="minor"/>
    </font>
    <font>
      <u/>
      <sz val="16"/>
      <name val="Calibri"/>
      <family val="2"/>
      <scheme val="minor"/>
    </font>
    <font>
      <sz val="24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u/>
      <sz val="18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EAEAEA"/>
        <bgColor rgb="FF262626"/>
      </patternFill>
    </fill>
    <fill>
      <patternFill patternType="solid">
        <fgColor rgb="FFEAEAE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rgb="FF757070"/>
      </patternFill>
    </fill>
    <fill>
      <patternFill patternType="solid">
        <fgColor theme="1"/>
        <bgColor indexed="64"/>
      </patternFill>
    </fill>
    <fill>
      <patternFill patternType="solid">
        <fgColor rgb="FFC8C6C6"/>
        <bgColor rgb="FFAEABAB"/>
      </patternFill>
    </fill>
    <fill>
      <patternFill patternType="solid">
        <fgColor rgb="FFC8C6C6"/>
        <bgColor indexed="64"/>
      </patternFill>
    </fill>
    <fill>
      <patternFill patternType="solid">
        <fgColor theme="2" tint="-0.74999237037263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18" fillId="0" borderId="0"/>
    <xf numFmtId="0" fontId="37" fillId="0" borderId="0" applyNumberFormat="0" applyFill="0" applyBorder="0" applyAlignment="0" applyProtection="0"/>
    <xf numFmtId="0" fontId="38" fillId="0" borderId="0"/>
  </cellStyleXfs>
  <cellXfs count="141">
    <xf numFmtId="0" fontId="0" fillId="0" borderId="0" xfId="0"/>
    <xf numFmtId="0" fontId="0" fillId="6" borderId="0" xfId="0" applyFill="1"/>
    <xf numFmtId="0" fontId="2" fillId="9" borderId="1" xfId="0" applyFont="1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3" fillId="6" borderId="0" xfId="0" applyFont="1" applyFill="1"/>
    <xf numFmtId="0" fontId="3" fillId="7" borderId="1" xfId="0" applyFont="1" applyFill="1" applyBorder="1"/>
    <xf numFmtId="0" fontId="6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9" fontId="3" fillId="3" borderId="0" xfId="0" applyNumberFormat="1" applyFont="1" applyFill="1" applyAlignment="1">
      <alignment horizontal="center" vertical="center"/>
    </xf>
    <xf numFmtId="9" fontId="3" fillId="6" borderId="2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7" borderId="4" xfId="0" applyFont="1" applyFill="1" applyBorder="1"/>
    <xf numFmtId="0" fontId="3" fillId="3" borderId="4" xfId="0" applyFont="1" applyFill="1" applyBorder="1" applyAlignment="1">
      <alignment horizontal="center" vertical="center"/>
    </xf>
    <xf numFmtId="49" fontId="3" fillId="3" borderId="3" xfId="0" quotePrefix="1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9" fontId="3" fillId="3" borderId="0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3" fillId="0" borderId="0" xfId="0" applyFont="1"/>
    <xf numFmtId="0" fontId="3" fillId="11" borderId="17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49" fontId="3" fillId="11" borderId="3" xfId="0" applyNumberFormat="1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9" fontId="3" fillId="11" borderId="0" xfId="0" applyNumberFormat="1" applyFont="1" applyFill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/>
    </xf>
    <xf numFmtId="0" fontId="3" fillId="7" borderId="13" xfId="0" applyFont="1" applyFill="1" applyBorder="1"/>
    <xf numFmtId="0" fontId="3" fillId="6" borderId="1" xfId="0" applyFont="1" applyFill="1" applyBorder="1" applyAlignment="1">
      <alignment horizontal="center" vertical="center"/>
    </xf>
    <xf numFmtId="49" fontId="3" fillId="11" borderId="0" xfId="0" applyNumberFormat="1" applyFont="1" applyFill="1" applyBorder="1" applyAlignment="1">
      <alignment horizontal="center" vertical="center"/>
    </xf>
    <xf numFmtId="49" fontId="3" fillId="11" borderId="0" xfId="0" quotePrefix="1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/>
    </xf>
    <xf numFmtId="0" fontId="7" fillId="6" borderId="0" xfId="0" applyFont="1" applyFill="1"/>
    <xf numFmtId="0" fontId="7" fillId="6" borderId="0" xfId="0" applyFont="1" applyFill="1" applyAlignment="1">
      <alignment horizontal="center" vertical="center"/>
    </xf>
    <xf numFmtId="0" fontId="7" fillId="7" borderId="8" xfId="0" applyFont="1" applyFill="1" applyBorder="1"/>
    <xf numFmtId="0" fontId="7" fillId="7" borderId="5" xfId="0" applyFont="1" applyFill="1" applyBorder="1"/>
    <xf numFmtId="0" fontId="12" fillId="6" borderId="0" xfId="0" applyFont="1" applyFill="1" applyAlignment="1">
      <alignment horizontal="center"/>
    </xf>
    <xf numFmtId="0" fontId="13" fillId="6" borderId="0" xfId="0" applyFont="1" applyFill="1"/>
    <xf numFmtId="0" fontId="7" fillId="6" borderId="0" xfId="0" quotePrefix="1" applyFont="1" applyFill="1" applyAlignment="1"/>
    <xf numFmtId="0" fontId="7" fillId="6" borderId="0" xfId="0" quotePrefix="1" applyFont="1" applyFill="1" applyAlignment="1">
      <alignment vertical="center"/>
    </xf>
    <xf numFmtId="0" fontId="7" fillId="3" borderId="12" xfId="0" applyFont="1" applyFill="1" applyBorder="1" applyAlignment="1" applyProtection="1">
      <alignment horizontal="center" vertical="center"/>
      <protection locked="0"/>
    </xf>
    <xf numFmtId="0" fontId="7" fillId="3" borderId="10" xfId="0" applyFont="1" applyFill="1" applyBorder="1" applyAlignment="1" applyProtection="1">
      <alignment horizontal="center" vertical="center"/>
      <protection locked="0"/>
    </xf>
    <xf numFmtId="0" fontId="7" fillId="3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3" fillId="5" borderId="0" xfId="0" applyFont="1" applyFill="1"/>
    <xf numFmtId="0" fontId="7" fillId="6" borderId="0" xfId="0" applyFont="1" applyFill="1" applyAlignment="1">
      <alignment horizontal="center" vertical="center"/>
    </xf>
    <xf numFmtId="0" fontId="16" fillId="6" borderId="0" xfId="0" applyFont="1" applyFill="1"/>
    <xf numFmtId="0" fontId="14" fillId="6" borderId="0" xfId="1" applyFont="1" applyFill="1" applyAlignment="1">
      <alignment vertical="center"/>
    </xf>
    <xf numFmtId="0" fontId="15" fillId="6" borderId="0" xfId="1" applyFont="1" applyFill="1" applyAlignment="1">
      <alignment vertical="center"/>
    </xf>
    <xf numFmtId="0" fontId="5" fillId="8" borderId="14" xfId="0" applyFont="1" applyFill="1" applyBorder="1" applyAlignment="1">
      <alignment horizontal="center" vertical="center" textRotation="255"/>
    </xf>
    <xf numFmtId="0" fontId="5" fillId="8" borderId="15" xfId="0" applyFont="1" applyFill="1" applyBorder="1" applyAlignment="1">
      <alignment horizontal="center" vertical="center" textRotation="255"/>
    </xf>
    <xf numFmtId="0" fontId="5" fillId="8" borderId="16" xfId="0" applyFont="1" applyFill="1" applyBorder="1" applyAlignment="1">
      <alignment horizontal="center" vertical="center" textRotation="255"/>
    </xf>
    <xf numFmtId="0" fontId="9" fillId="4" borderId="0" xfId="0" applyFont="1" applyFill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0" fillId="11" borderId="19" xfId="0" applyFont="1" applyFill="1" applyBorder="1" applyAlignment="1">
      <alignment horizontal="center" vertical="center"/>
    </xf>
    <xf numFmtId="0" fontId="10" fillId="11" borderId="0" xfId="0" applyFont="1" applyFill="1" applyBorder="1" applyAlignment="1">
      <alignment horizontal="center" vertical="center"/>
    </xf>
    <xf numFmtId="0" fontId="10" fillId="11" borderId="7" xfId="0" applyFont="1" applyFill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10" fillId="11" borderId="3" xfId="0" applyFont="1" applyFill="1" applyBorder="1" applyAlignment="1">
      <alignment horizontal="center" vertical="center"/>
    </xf>
    <xf numFmtId="0" fontId="10" fillId="11" borderId="6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5" fillId="6" borderId="0" xfId="1" quotePrefix="1" applyFont="1" applyFill="1" applyAlignment="1">
      <alignment horizontal="center"/>
    </xf>
    <xf numFmtId="0" fontId="15" fillId="6" borderId="0" xfId="1" quotePrefix="1" applyFont="1" applyFill="1" applyAlignment="1">
      <alignment horizontal="center" vertical="center"/>
    </xf>
    <xf numFmtId="0" fontId="20" fillId="6" borderId="7" xfId="0" applyFont="1" applyFill="1" applyBorder="1" applyAlignment="1">
      <alignment horizontal="center" vertical="center"/>
    </xf>
    <xf numFmtId="0" fontId="21" fillId="6" borderId="0" xfId="0" applyFont="1" applyFill="1" applyAlignment="1">
      <alignment horizontal="center" vertical="center"/>
    </xf>
    <xf numFmtId="0" fontId="12" fillId="6" borderId="0" xfId="0" applyFont="1" applyFill="1" applyAlignment="1"/>
    <xf numFmtId="0" fontId="22" fillId="6" borderId="0" xfId="1" applyFont="1" applyFill="1" applyAlignment="1"/>
    <xf numFmtId="0" fontId="23" fillId="3" borderId="0" xfId="2" applyFont="1" applyFill="1" applyAlignment="1">
      <alignment horizontal="center" vertical="center"/>
    </xf>
    <xf numFmtId="0" fontId="24" fillId="3" borderId="0" xfId="2" applyFont="1" applyFill="1" applyAlignment="1">
      <alignment horizontal="center" vertical="center"/>
    </xf>
    <xf numFmtId="0" fontId="25" fillId="3" borderId="0" xfId="2" applyFont="1" applyFill="1" applyAlignment="1">
      <alignment horizontal="center" vertical="top"/>
    </xf>
    <xf numFmtId="0" fontId="24" fillId="3" borderId="0" xfId="2" applyFont="1" applyFill="1"/>
    <xf numFmtId="0" fontId="18" fillId="12" borderId="0" xfId="2" applyFill="1"/>
    <xf numFmtId="0" fontId="26" fillId="3" borderId="0" xfId="2" applyFont="1" applyFill="1" applyAlignment="1">
      <alignment horizontal="center" vertical="center"/>
    </xf>
    <xf numFmtId="0" fontId="27" fillId="3" borderId="0" xfId="2" applyFont="1" applyFill="1" applyAlignment="1">
      <alignment horizontal="center"/>
    </xf>
    <xf numFmtId="0" fontId="28" fillId="12" borderId="0" xfId="2" applyFont="1" applyFill="1"/>
    <xf numFmtId="0" fontId="28" fillId="12" borderId="0" xfId="2" applyFont="1" applyFill="1" applyAlignment="1">
      <alignment horizontal="center" vertical="center"/>
    </xf>
    <xf numFmtId="0" fontId="29" fillId="3" borderId="0" xfId="2" applyFont="1" applyFill="1" applyAlignment="1">
      <alignment horizontal="center" vertical="center"/>
    </xf>
    <xf numFmtId="0" fontId="18" fillId="12" borderId="0" xfId="2" applyFill="1" applyAlignment="1">
      <alignment horizontal="center" vertical="center"/>
    </xf>
    <xf numFmtId="0" fontId="18" fillId="12" borderId="0" xfId="2" applyFill="1" applyAlignment="1">
      <alignment horizontal="right" vertical="center"/>
    </xf>
    <xf numFmtId="0" fontId="29" fillId="11" borderId="0" xfId="2" applyFont="1" applyFill="1" applyAlignment="1" applyProtection="1">
      <alignment horizontal="center" vertical="center"/>
      <protection locked="0"/>
    </xf>
    <xf numFmtId="0" fontId="23" fillId="3" borderId="0" xfId="2" applyFont="1" applyFill="1" applyAlignment="1">
      <alignment horizontal="left" vertical="center"/>
    </xf>
    <xf numFmtId="0" fontId="23" fillId="3" borderId="0" xfId="2" applyFont="1" applyFill="1" applyAlignment="1">
      <alignment horizontal="center" vertical="center" wrapText="1"/>
    </xf>
    <xf numFmtId="0" fontId="29" fillId="3" borderId="0" xfId="2" applyFont="1" applyFill="1" applyAlignment="1">
      <alignment horizontal="left" vertical="center"/>
    </xf>
    <xf numFmtId="0" fontId="26" fillId="11" borderId="0" xfId="2" applyFont="1" applyFill="1" applyAlignment="1" applyProtection="1">
      <alignment horizontal="center" vertical="center"/>
      <protection locked="0"/>
    </xf>
    <xf numFmtId="0" fontId="19" fillId="12" borderId="0" xfId="2" applyFont="1" applyFill="1" applyAlignment="1">
      <alignment horizontal="center"/>
    </xf>
    <xf numFmtId="0" fontId="23" fillId="3" borderId="20" xfId="2" applyFont="1" applyFill="1" applyBorder="1" applyAlignment="1">
      <alignment horizontal="center" vertical="center"/>
    </xf>
    <xf numFmtId="0" fontId="24" fillId="3" borderId="21" xfId="2" applyFont="1" applyFill="1" applyBorder="1" applyAlignment="1">
      <alignment horizontal="center" vertical="center"/>
    </xf>
    <xf numFmtId="0" fontId="23" fillId="3" borderId="21" xfId="2" applyFont="1" applyFill="1" applyBorder="1" applyAlignment="1">
      <alignment horizontal="center" vertical="center"/>
    </xf>
    <xf numFmtId="0" fontId="30" fillId="3" borderId="21" xfId="2" applyFont="1" applyFill="1" applyBorder="1" applyAlignment="1">
      <alignment horizontal="center" vertical="center"/>
    </xf>
    <xf numFmtId="0" fontId="23" fillId="3" borderId="21" xfId="2" applyFont="1" applyFill="1" applyBorder="1" applyAlignment="1">
      <alignment horizontal="center" vertical="center" wrapText="1"/>
    </xf>
    <xf numFmtId="0" fontId="24" fillId="3" borderId="22" xfId="2" applyFont="1" applyFill="1" applyBorder="1" applyAlignment="1">
      <alignment horizontal="center" vertical="center"/>
    </xf>
    <xf numFmtId="0" fontId="23" fillId="3" borderId="19" xfId="2" applyFont="1" applyFill="1" applyBorder="1" applyAlignment="1">
      <alignment horizontal="center" vertical="center"/>
    </xf>
    <xf numFmtId="0" fontId="31" fillId="11" borderId="0" xfId="2" applyFont="1" applyFill="1" applyAlignment="1">
      <alignment horizontal="center" vertical="center"/>
    </xf>
    <xf numFmtId="0" fontId="29" fillId="3" borderId="0" xfId="2" applyFont="1" applyFill="1" applyAlignment="1">
      <alignment horizontal="right" vertical="center"/>
    </xf>
    <xf numFmtId="0" fontId="33" fillId="11" borderId="0" xfId="2" applyFont="1" applyFill="1" applyAlignment="1" applyProtection="1">
      <alignment horizontal="center" vertical="center"/>
      <protection locked="0"/>
    </xf>
    <xf numFmtId="0" fontId="23" fillId="3" borderId="0" xfId="2" applyFont="1" applyFill="1" applyAlignment="1">
      <alignment horizontal="left" vertical="center"/>
    </xf>
    <xf numFmtId="0" fontId="24" fillId="3" borderId="23" xfId="2" applyFont="1" applyFill="1" applyBorder="1" applyAlignment="1">
      <alignment horizontal="center" vertical="center"/>
    </xf>
    <xf numFmtId="164" fontId="18" fillId="12" borderId="0" xfId="2" applyNumberFormat="1" applyFill="1" applyAlignment="1">
      <alignment horizontal="center" vertical="center"/>
    </xf>
    <xf numFmtId="164" fontId="18" fillId="12" borderId="0" xfId="2" applyNumberFormat="1" applyFill="1"/>
    <xf numFmtId="0" fontId="24" fillId="3" borderId="19" xfId="2" applyFont="1" applyFill="1" applyBorder="1" applyAlignment="1">
      <alignment horizontal="center" vertical="center"/>
    </xf>
    <xf numFmtId="0" fontId="30" fillId="3" borderId="0" xfId="2" applyFont="1" applyFill="1" applyAlignment="1">
      <alignment horizontal="center" vertical="center"/>
    </xf>
    <xf numFmtId="0" fontId="30" fillId="3" borderId="19" xfId="2" applyFont="1" applyFill="1" applyBorder="1" applyAlignment="1">
      <alignment horizontal="center" vertical="center"/>
    </xf>
    <xf numFmtId="0" fontId="23" fillId="3" borderId="0" xfId="2" applyFont="1" applyFill="1" applyAlignment="1">
      <alignment horizontal="right" vertical="center"/>
    </xf>
    <xf numFmtId="0" fontId="23" fillId="11" borderId="0" xfId="2" applyFont="1" applyFill="1" applyAlignment="1" applyProtection="1">
      <alignment horizontal="center" vertical="center"/>
      <protection locked="0"/>
    </xf>
    <xf numFmtId="0" fontId="34" fillId="12" borderId="0" xfId="2" applyFont="1" applyFill="1" applyAlignment="1">
      <alignment horizontal="center" vertical="center"/>
    </xf>
    <xf numFmtId="0" fontId="35" fillId="12" borderId="0" xfId="2" applyFont="1" applyFill="1" applyAlignment="1">
      <alignment horizontal="center" vertical="center"/>
    </xf>
    <xf numFmtId="0" fontId="23" fillId="3" borderId="24" xfId="2" applyFont="1" applyFill="1" applyBorder="1" applyAlignment="1">
      <alignment horizontal="center" vertical="center"/>
    </xf>
    <xf numFmtId="0" fontId="24" fillId="3" borderId="25" xfId="2" applyFont="1" applyFill="1" applyBorder="1" applyAlignment="1">
      <alignment horizontal="center" vertical="center"/>
    </xf>
    <xf numFmtId="0" fontId="23" fillId="3" borderId="25" xfId="2" applyFont="1" applyFill="1" applyBorder="1" applyAlignment="1">
      <alignment horizontal="center" vertical="center"/>
    </xf>
    <xf numFmtId="0" fontId="30" fillId="3" borderId="25" xfId="2" applyFont="1" applyFill="1" applyBorder="1" applyAlignment="1">
      <alignment horizontal="center" vertical="center"/>
    </xf>
    <xf numFmtId="0" fontId="23" fillId="3" borderId="25" xfId="2" applyFont="1" applyFill="1" applyBorder="1" applyAlignment="1">
      <alignment horizontal="center" vertical="center" wrapText="1"/>
    </xf>
    <xf numFmtId="0" fontId="24" fillId="3" borderId="26" xfId="2" applyFont="1" applyFill="1" applyBorder="1" applyAlignment="1">
      <alignment horizontal="center" vertical="center"/>
    </xf>
    <xf numFmtId="0" fontId="31" fillId="11" borderId="0" xfId="2" applyFont="1" applyFill="1" applyAlignment="1" applyProtection="1">
      <alignment horizontal="center" vertical="center"/>
      <protection locked="0"/>
    </xf>
    <xf numFmtId="0" fontId="24" fillId="2" borderId="0" xfId="2" applyFont="1" applyFill="1"/>
    <xf numFmtId="0" fontId="23" fillId="2" borderId="0" xfId="2" applyFont="1" applyFill="1" applyAlignment="1">
      <alignment horizontal="center" vertical="center"/>
    </xf>
    <xf numFmtId="0" fontId="24" fillId="2" borderId="0" xfId="2" applyFont="1" applyFill="1" applyAlignment="1">
      <alignment horizontal="center" vertical="center"/>
    </xf>
    <xf numFmtId="0" fontId="36" fillId="3" borderId="0" xfId="1" applyFont="1" applyFill="1" applyAlignment="1">
      <alignment horizontal="center" vertical="center"/>
    </xf>
    <xf numFmtId="0" fontId="26" fillId="3" borderId="0" xfId="2" applyFont="1" applyFill="1" applyAlignment="1">
      <alignment horizontal="center" vertical="center"/>
    </xf>
    <xf numFmtId="0" fontId="17" fillId="6" borderId="3" xfId="0" applyFont="1" applyFill="1" applyBorder="1" applyAlignment="1">
      <alignment horizontal="center"/>
    </xf>
  </cellXfs>
  <cellStyles count="5">
    <cellStyle name="Hyperlink" xfId="1" builtinId="8"/>
    <cellStyle name="Hyperlink 2" xfId="3" xr:uid="{2D692558-C890-442B-9224-D0EF8F53F7C4}"/>
    <cellStyle name="Normal" xfId="0" builtinId="0"/>
    <cellStyle name="Normal 2" xfId="4" xr:uid="{BB10BFEF-E575-483A-AD5E-08BBF14B5CF6}"/>
    <cellStyle name="Normal 3" xfId="2" xr:uid="{5061FDEA-77E5-4195-89B3-900688EB7BDE}"/>
  </cellStyles>
  <dxfs count="0"/>
  <tableStyles count="0" defaultTableStyle="TableStyleMedium2" defaultPivotStyle="PivotStyleLight16"/>
  <colors>
    <mruColors>
      <color rgb="FFFFC000"/>
      <color rgb="FFC8C6C6"/>
      <color rgb="FFEAEAEA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391582</xdr:colOff>
      <xdr:row>1</xdr:row>
      <xdr:rowOff>183216</xdr:rowOff>
    </xdr:from>
    <xdr:to>
      <xdr:col>1</xdr:col>
      <xdr:colOff>666750</xdr:colOff>
      <xdr:row>10</xdr:row>
      <xdr:rowOff>21167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73AF65-43EF-4710-A2FF-2068545D4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582" y="373716"/>
          <a:ext cx="1227668" cy="1647701"/>
        </a:xfrm>
        <a:prstGeom prst="rect">
          <a:avLst/>
        </a:prstGeom>
      </xdr:spPr>
    </xdr:pic>
    <xdr:clientData/>
  </xdr:twoCellAnchor>
  <xdr:twoCellAnchor editAs="oneCell">
    <xdr:from>
      <xdr:col>8</xdr:col>
      <xdr:colOff>131232</xdr:colOff>
      <xdr:row>1</xdr:row>
      <xdr:rowOff>176866</xdr:rowOff>
    </xdr:from>
    <xdr:to>
      <xdr:col>9</xdr:col>
      <xdr:colOff>406400</xdr:colOff>
      <xdr:row>10</xdr:row>
      <xdr:rowOff>14817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84FD60-8D2A-40CB-BB8A-B72224993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1232" y="367366"/>
          <a:ext cx="1227668" cy="16477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3</xdr:row>
      <xdr:rowOff>212585</xdr:rowOff>
    </xdr:from>
    <xdr:to>
      <xdr:col>0</xdr:col>
      <xdr:colOff>1206499</xdr:colOff>
      <xdr:row>9</xdr:row>
      <xdr:rowOff>135418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74725A4-D0DE-4366-B723-4321686A4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360752"/>
          <a:ext cx="857249" cy="1118750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14</xdr:row>
      <xdr:rowOff>222250</xdr:rowOff>
    </xdr:from>
    <xdr:to>
      <xdr:col>0</xdr:col>
      <xdr:colOff>1206499</xdr:colOff>
      <xdr:row>20</xdr:row>
      <xdr:rowOff>145083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96D1DF3-11AE-4020-BF69-39C7FFD0A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2497667"/>
          <a:ext cx="857249" cy="1118750"/>
        </a:xfrm>
        <a:prstGeom prst="rect">
          <a:avLst/>
        </a:prstGeom>
      </xdr:spPr>
    </xdr:pic>
    <xdr:clientData/>
  </xdr:twoCellAnchor>
  <xdr:twoCellAnchor editAs="oneCell">
    <xdr:from>
      <xdr:col>0</xdr:col>
      <xdr:colOff>364067</xdr:colOff>
      <xdr:row>25</xdr:row>
      <xdr:rowOff>215901</xdr:rowOff>
    </xdr:from>
    <xdr:to>
      <xdr:col>0</xdr:col>
      <xdr:colOff>1221316</xdr:colOff>
      <xdr:row>31</xdr:row>
      <xdr:rowOff>138734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F1DCAE13-A7AA-4E91-B2FB-724B08A48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067" y="4607984"/>
          <a:ext cx="857249" cy="1118750"/>
        </a:xfrm>
        <a:prstGeom prst="rect">
          <a:avLst/>
        </a:prstGeom>
      </xdr:spPr>
    </xdr:pic>
    <xdr:clientData/>
  </xdr:twoCellAnchor>
  <xdr:twoCellAnchor editAs="oneCell">
    <xdr:from>
      <xdr:col>0</xdr:col>
      <xdr:colOff>357717</xdr:colOff>
      <xdr:row>36</xdr:row>
      <xdr:rowOff>198967</xdr:rowOff>
    </xdr:from>
    <xdr:to>
      <xdr:col>0</xdr:col>
      <xdr:colOff>1214966</xdr:colOff>
      <xdr:row>42</xdr:row>
      <xdr:rowOff>121801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25DB7092-9B15-4F98-89B3-29FF8E45B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717" y="6707717"/>
          <a:ext cx="857249" cy="1118750"/>
        </a:xfrm>
        <a:prstGeom prst="rect">
          <a:avLst/>
        </a:prstGeom>
      </xdr:spPr>
    </xdr:pic>
    <xdr:clientData/>
  </xdr:twoCellAnchor>
  <xdr:twoCellAnchor editAs="oneCell">
    <xdr:from>
      <xdr:col>0</xdr:col>
      <xdr:colOff>351367</xdr:colOff>
      <xdr:row>47</xdr:row>
      <xdr:rowOff>213783</xdr:rowOff>
    </xdr:from>
    <xdr:to>
      <xdr:col>0</xdr:col>
      <xdr:colOff>1208616</xdr:colOff>
      <xdr:row>53</xdr:row>
      <xdr:rowOff>136616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85414844-C130-4E1E-95A0-F75A464DB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367" y="8839200"/>
          <a:ext cx="857249" cy="1118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148070</xdr:colOff>
      <xdr:row>2</xdr:row>
      <xdr:rowOff>190500</xdr:rowOff>
    </xdr:from>
    <xdr:to>
      <xdr:col>5</xdr:col>
      <xdr:colOff>186169</xdr:colOff>
      <xdr:row>15</xdr:row>
      <xdr:rowOff>245099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C76DB5-0219-4D36-8D1B-4E8701798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320" y="590550"/>
          <a:ext cx="2171699" cy="28358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OGRAMME-ILIAD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TIONS"/>
      <sheetName val="PROFIL"/>
      <sheetName val="BLOCK INTRO"/>
      <sheetName val="BLOCK 1"/>
      <sheetName val="BLOCK 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tlascoaching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tlascoaching.net/" TargetMode="External"/><Relationship Id="rId2" Type="http://schemas.openxmlformats.org/officeDocument/2006/relationships/hyperlink" Target="https://www.instagram.com/atlas_pwr" TargetMode="External"/><Relationship Id="rId1" Type="http://schemas.openxmlformats.org/officeDocument/2006/relationships/hyperlink" Target="mailto:contact@atlascoaching.net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937EC-565E-4CB0-80EB-A020D507DA44}">
  <dimension ref="A1:XFD59"/>
  <sheetViews>
    <sheetView zoomScale="90" zoomScaleNormal="90" workbookViewId="0">
      <selection activeCell="C20" sqref="C20"/>
    </sheetView>
  </sheetViews>
  <sheetFormatPr defaultColWidth="0" defaultRowHeight="0" customHeight="1" zeroHeight="1"/>
  <cols>
    <col min="1" max="1" width="14.28515625" style="92" customWidth="1"/>
    <col min="2" max="6" width="14.28515625" style="135" customWidth="1"/>
    <col min="7" max="10" width="14.28515625" style="92" customWidth="1"/>
    <col min="11" max="11" width="11.42578125" style="93" hidden="1" customWidth="1"/>
    <col min="12" max="19" width="12.140625" style="93" hidden="1" customWidth="1"/>
    <col min="20" max="16379" width="11.42578125" style="93" hidden="1"/>
    <col min="16380" max="16380" width="8.42578125" style="93" hidden="1" customWidth="1"/>
    <col min="16381" max="16381" width="16" style="93" hidden="1" customWidth="1"/>
    <col min="16382" max="16382" width="10.28515625" style="93" hidden="1" customWidth="1"/>
    <col min="16383" max="16384" width="13.28515625" style="93" hidden="1" customWidth="1"/>
  </cols>
  <sheetData>
    <row r="1" spans="1:16 16380:16384" ht="15" customHeight="1">
      <c r="A1" s="89"/>
      <c r="B1" s="89"/>
      <c r="C1" s="90"/>
      <c r="D1" s="91" t="s">
        <v>110</v>
      </c>
      <c r="E1" s="91"/>
      <c r="F1" s="91"/>
      <c r="G1" s="91"/>
      <c r="H1" s="89"/>
      <c r="I1" s="89"/>
    </row>
    <row r="2" spans="1:16 16380:16384" ht="15" customHeight="1">
      <c r="A2" s="89"/>
      <c r="B2" s="94"/>
      <c r="C2" s="89"/>
      <c r="D2" s="91"/>
      <c r="E2" s="91"/>
      <c r="F2" s="91"/>
      <c r="G2" s="91"/>
      <c r="H2" s="89"/>
      <c r="I2" s="89"/>
    </row>
    <row r="3" spans="1:16 16380:16384" ht="15" customHeight="1">
      <c r="A3" s="89"/>
      <c r="B3" s="94"/>
      <c r="C3" s="95" t="s">
        <v>85</v>
      </c>
      <c r="D3" s="95"/>
      <c r="E3" s="95"/>
      <c r="F3" s="95"/>
      <c r="G3" s="95"/>
      <c r="H3" s="95"/>
      <c r="I3" s="89"/>
      <c r="K3" s="96"/>
      <c r="L3" s="96"/>
    </row>
    <row r="4" spans="1:16 16380:16384" ht="15" customHeight="1">
      <c r="A4" s="89"/>
      <c r="B4" s="94"/>
      <c r="C4" s="95"/>
      <c r="D4" s="95"/>
      <c r="E4" s="95"/>
      <c r="F4" s="95"/>
      <c r="G4" s="95"/>
      <c r="H4" s="95"/>
      <c r="I4" s="89"/>
      <c r="K4" s="97"/>
      <c r="L4" s="97"/>
    </row>
    <row r="5" spans="1:16 16380:16384" ht="15" customHeight="1">
      <c r="A5" s="89"/>
      <c r="B5" s="94"/>
      <c r="C5" s="95"/>
      <c r="D5" s="95"/>
      <c r="E5" s="95"/>
      <c r="F5" s="95"/>
      <c r="G5" s="95"/>
      <c r="H5" s="95"/>
      <c r="I5" s="89"/>
    </row>
    <row r="6" spans="1:16 16380:16384" ht="15" customHeight="1">
      <c r="A6" s="89"/>
      <c r="B6" s="94"/>
      <c r="C6" s="89"/>
      <c r="D6" s="89"/>
      <c r="E6" s="89"/>
      <c r="F6" s="89"/>
      <c r="G6" s="89"/>
      <c r="H6" s="89"/>
      <c r="I6" s="89"/>
    </row>
    <row r="7" spans="1:16 16380:16384" ht="15" customHeight="1">
      <c r="A7" s="89"/>
      <c r="B7" s="90"/>
      <c r="C7" s="89"/>
      <c r="D7" s="98"/>
      <c r="E7" s="98"/>
      <c r="F7" s="98"/>
      <c r="G7" s="89"/>
      <c r="H7" s="89"/>
      <c r="I7" s="89"/>
      <c r="J7" s="90"/>
      <c r="K7" s="99"/>
      <c r="L7" s="99"/>
      <c r="M7" s="99"/>
      <c r="N7" s="99"/>
      <c r="O7" s="99"/>
      <c r="P7" s="99"/>
      <c r="XEZ7" s="100" t="s">
        <v>86</v>
      </c>
      <c r="XFA7" s="99">
        <f>IF(D8="FEMME", 4, 2)</f>
        <v>2</v>
      </c>
      <c r="XFB7" s="99"/>
    </row>
    <row r="8" spans="1:16 16380:16384" ht="18.75" customHeight="1">
      <c r="A8" s="89"/>
      <c r="B8" s="94"/>
      <c r="C8" s="98" t="s">
        <v>87</v>
      </c>
      <c r="D8" s="101" t="s">
        <v>115</v>
      </c>
      <c r="E8" s="89"/>
      <c r="F8" s="98" t="s">
        <v>88</v>
      </c>
      <c r="G8" s="101">
        <v>26</v>
      </c>
      <c r="H8" s="102" t="s">
        <v>89</v>
      </c>
      <c r="I8" s="89"/>
      <c r="J8" s="90"/>
      <c r="K8" s="99"/>
      <c r="L8" s="99"/>
      <c r="M8" s="99"/>
      <c r="N8" s="99"/>
      <c r="O8" s="99"/>
      <c r="P8" s="99"/>
      <c r="XEZ8" s="100" t="s">
        <v>90</v>
      </c>
      <c r="XFA8" s="99">
        <f>IF(G8&lt;25, 3, IF(G8&gt;39, 1, 2))</f>
        <v>2</v>
      </c>
      <c r="XFB8" s="99"/>
    </row>
    <row r="9" spans="1:16 16380:16384" ht="15" customHeight="1">
      <c r="A9" s="89"/>
      <c r="B9" s="90"/>
      <c r="C9" s="98"/>
      <c r="D9" s="90"/>
      <c r="E9" s="90"/>
      <c r="F9" s="98"/>
      <c r="G9" s="89"/>
      <c r="H9" s="103"/>
      <c r="I9" s="90"/>
      <c r="J9" s="90"/>
      <c r="K9" s="99"/>
      <c r="L9" s="99"/>
      <c r="M9" s="99"/>
      <c r="N9" s="99"/>
      <c r="O9" s="99"/>
      <c r="P9" s="99"/>
      <c r="XEZ9" s="100" t="s">
        <v>91</v>
      </c>
      <c r="XFA9" s="99">
        <f>IF(D8="HOMME",IF(G10&lt;67, 3, IF(G10&gt;92, 1, 2)),IF(G10&lt;58, 3, IF(G10&gt;73, 1, 2)))</f>
        <v>2</v>
      </c>
      <c r="XFB9" s="99" t="s">
        <v>92</v>
      </c>
    </row>
    <row r="10" spans="1:16 16380:16384" ht="18.75" customHeight="1">
      <c r="A10" s="89"/>
      <c r="B10" s="90"/>
      <c r="C10" s="98" t="s">
        <v>93</v>
      </c>
      <c r="D10" s="101">
        <v>170</v>
      </c>
      <c r="E10" s="102" t="s">
        <v>94</v>
      </c>
      <c r="F10" s="98" t="s">
        <v>95</v>
      </c>
      <c r="G10" s="101">
        <v>77.7</v>
      </c>
      <c r="H10" s="102" t="s">
        <v>96</v>
      </c>
      <c r="I10" s="90"/>
      <c r="J10" s="90"/>
      <c r="K10" s="99"/>
      <c r="L10" s="99"/>
      <c r="M10" s="99"/>
      <c r="N10" s="99"/>
      <c r="O10" s="99"/>
      <c r="P10" s="99"/>
      <c r="XEZ10" s="100" t="s">
        <v>97</v>
      </c>
      <c r="XFA10" s="99">
        <f>XFA7+XFA8+XFA9</f>
        <v>6</v>
      </c>
      <c r="XFB10" s="99">
        <f>IF($XFC$40="GOOD",$XFA$10,$XFA$10-1.5)</f>
        <v>6</v>
      </c>
    </row>
    <row r="11" spans="1:16 16380:16384" ht="15" customHeight="1">
      <c r="A11" s="89"/>
      <c r="B11" s="94"/>
      <c r="C11" s="89"/>
      <c r="D11" s="98"/>
      <c r="E11" s="89"/>
      <c r="F11" s="89"/>
      <c r="G11" s="90"/>
      <c r="H11" s="90"/>
      <c r="I11" s="89"/>
      <c r="J11" s="90"/>
      <c r="K11" s="99"/>
      <c r="L11" s="99"/>
      <c r="M11" s="99"/>
      <c r="N11" s="99"/>
      <c r="O11" s="99"/>
      <c r="P11" s="99"/>
    </row>
    <row r="12" spans="1:16 16380:16384" ht="18.75" customHeight="1">
      <c r="A12" s="89"/>
      <c r="B12" s="94"/>
      <c r="C12" s="89"/>
      <c r="D12" s="104" t="s">
        <v>98</v>
      </c>
      <c r="E12" s="89"/>
      <c r="F12" s="105">
        <v>2.5</v>
      </c>
      <c r="G12" s="102" t="s">
        <v>31</v>
      </c>
      <c r="H12" s="90"/>
      <c r="I12" s="89"/>
      <c r="J12" s="90"/>
      <c r="K12" s="99"/>
      <c r="L12" s="99"/>
      <c r="M12" s="99"/>
      <c r="N12" s="99"/>
      <c r="O12" s="99"/>
      <c r="P12" s="99"/>
    </row>
    <row r="13" spans="1:16 16380:16384" ht="18.75" customHeight="1" thickBot="1">
      <c r="A13" s="89"/>
      <c r="B13" s="94"/>
      <c r="C13" s="89"/>
      <c r="D13" s="104"/>
      <c r="E13" s="89"/>
      <c r="F13" s="89"/>
      <c r="G13" s="90"/>
      <c r="H13" s="90"/>
      <c r="I13" s="89"/>
      <c r="J13" s="90"/>
      <c r="K13" s="99"/>
      <c r="L13" s="99"/>
      <c r="M13" s="99"/>
      <c r="N13" s="99"/>
      <c r="O13" s="99"/>
      <c r="P13" s="99"/>
      <c r="XFA13" s="106" t="s">
        <v>99</v>
      </c>
      <c r="XFB13" s="106"/>
      <c r="XFC13" s="106"/>
    </row>
    <row r="14" spans="1:16 16380:16384" ht="15" customHeight="1">
      <c r="A14" s="107"/>
      <c r="B14" s="108"/>
      <c r="C14" s="108"/>
      <c r="D14" s="108"/>
      <c r="E14" s="108"/>
      <c r="F14" s="109"/>
      <c r="G14" s="110"/>
      <c r="H14" s="111"/>
      <c r="I14" s="108"/>
      <c r="J14" s="112"/>
      <c r="K14" s="99"/>
      <c r="L14" s="99"/>
      <c r="M14" s="99"/>
      <c r="N14" s="99"/>
      <c r="O14" s="99"/>
      <c r="P14" s="99"/>
    </row>
    <row r="15" spans="1:16 16380:16384" ht="15" customHeight="1">
      <c r="A15" s="113"/>
      <c r="B15" s="114" t="s">
        <v>76</v>
      </c>
      <c r="C15" s="114"/>
      <c r="D15" s="115" t="s">
        <v>100</v>
      </c>
      <c r="E15" s="115"/>
      <c r="F15" s="116">
        <v>232.5</v>
      </c>
      <c r="G15" s="117" t="s">
        <v>101</v>
      </c>
      <c r="H15" s="89"/>
      <c r="I15" s="89"/>
      <c r="J15" s="118"/>
      <c r="K15" s="99"/>
      <c r="L15" s="99"/>
      <c r="M15" s="99"/>
      <c r="N15" s="99"/>
      <c r="O15" s="99"/>
      <c r="P15" s="99"/>
      <c r="XFB15" s="119">
        <f>AVERAGE((('[1]BLOCK 1'!$G$7*10*0.0333)+'[1]BLOCK 1'!$G$7),(('[1]BLOCK 1'!$G$19*9*0.0333)+'[1]BLOCK 1'!$G$19),(('[1]BLOCK 1'!$G$31*8*0.0333)+'[1]BLOCK 1'!$G$31),(('[1]BLOCK 1'!$G$43*7.5*0.0333)+'[1]BLOCK 1'!$G$43))</f>
        <v>0</v>
      </c>
      <c r="XFC15" s="119">
        <f>AVERAGE((('[1]BLOCK 1'!$S$7*7*0.0333)+'[1]BLOCK 1'!$S$7),(('[1]BLOCK 1'!$S$19*7*0.0333)+'[1]BLOCK 1'!$S$19),(('[1]BLOCK 1'!$S$31*6*0.0333)+'[1]BLOCK 1'!$S$31),(('[1]BLOCK 1'!$S$43*6*0.0333)+'[1]BLOCK 1'!$S$43))</f>
        <v>0</v>
      </c>
      <c r="XFD15" s="119">
        <f>AVERAGE((('[1]BLOCK 1'!$Y$31*5*0.0333)+'[1]BLOCK 1'!$Y$31),(('[1]BLOCK 1'!$Y$43*4*0.0333)+'[1]BLOCK 1'!$Y$43))</f>
        <v>0</v>
      </c>
    </row>
    <row r="16" spans="1:16 16380:16384" ht="15" customHeight="1">
      <c r="A16" s="113"/>
      <c r="B16" s="114"/>
      <c r="C16" s="114"/>
      <c r="D16" s="115"/>
      <c r="E16" s="115"/>
      <c r="F16" s="116"/>
      <c r="G16" s="117"/>
      <c r="H16" s="89"/>
      <c r="I16" s="89"/>
      <c r="J16" s="118"/>
      <c r="K16" s="99"/>
      <c r="L16" s="99"/>
      <c r="M16" s="99"/>
      <c r="N16" s="99"/>
      <c r="O16" s="99"/>
      <c r="P16" s="99"/>
      <c r="XFB16" s="119">
        <f>AVERAGE($XFB$15,$XFC$15)</f>
        <v>0</v>
      </c>
      <c r="XFC16" s="120"/>
    </row>
    <row r="17" spans="1:16 16380:16383" ht="15" customHeight="1">
      <c r="A17" s="121"/>
      <c r="B17" s="90"/>
      <c r="C17" s="90"/>
      <c r="D17" s="90"/>
      <c r="E17" s="90"/>
      <c r="F17" s="122"/>
      <c r="G17" s="90"/>
      <c r="H17" s="98"/>
      <c r="I17" s="90"/>
      <c r="J17" s="118"/>
      <c r="K17" s="99"/>
      <c r="L17" s="99"/>
      <c r="M17" s="99"/>
      <c r="N17" s="99"/>
      <c r="O17" s="99"/>
      <c r="P17" s="99"/>
    </row>
    <row r="18" spans="1:16 16380:16383" ht="15" customHeight="1">
      <c r="A18" s="123"/>
      <c r="B18" s="103"/>
      <c r="C18" s="90"/>
      <c r="D18" s="103"/>
      <c r="E18" s="90"/>
      <c r="F18" s="90"/>
      <c r="G18" s="89"/>
      <c r="H18" s="90"/>
      <c r="I18" s="90"/>
      <c r="J18" s="118"/>
      <c r="K18" s="99"/>
      <c r="L18" s="99"/>
      <c r="M18" s="99"/>
      <c r="N18" s="99"/>
      <c r="O18" s="99"/>
      <c r="P18" s="99"/>
      <c r="XFC18" s="99" t="s">
        <v>102</v>
      </c>
    </row>
    <row r="19" spans="1:16 16380:16383" ht="18.75" customHeight="1">
      <c r="A19" s="121"/>
      <c r="B19" s="124" t="s">
        <v>111</v>
      </c>
      <c r="C19" s="124"/>
      <c r="D19" s="124"/>
      <c r="E19" s="124"/>
      <c r="F19" s="125" t="s">
        <v>44</v>
      </c>
      <c r="G19" s="125"/>
      <c r="H19" s="125"/>
      <c r="I19" s="90"/>
      <c r="J19" s="118"/>
      <c r="K19" s="126"/>
      <c r="L19" s="126"/>
      <c r="M19" s="126"/>
      <c r="N19" s="99"/>
      <c r="O19" s="99"/>
      <c r="P19" s="99"/>
      <c r="XEZ19" s="99" t="s">
        <v>103</v>
      </c>
      <c r="XFA19" s="99" t="str">
        <f>IF(F19="Genoux qui rentrent","G",IF(F19="Bassin qui remonte en premier","GM",IF(F19="Haut du dos qui s'arrondit","HD","R")))</f>
        <v>R</v>
      </c>
      <c r="XFC19" s="99" t="str">
        <f>IF($XFB$16&gt;$XFD$15,"BAD","GOOD")</f>
        <v>GOOD</v>
      </c>
    </row>
    <row r="20" spans="1:16 16380:16383" ht="15" customHeight="1">
      <c r="A20" s="121"/>
      <c r="B20" s="90"/>
      <c r="C20" s="90"/>
      <c r="D20" s="92"/>
      <c r="E20" s="92"/>
      <c r="F20" s="90"/>
      <c r="G20" s="90"/>
      <c r="H20" s="90"/>
      <c r="I20" s="90"/>
      <c r="J20" s="118"/>
      <c r="K20" s="99"/>
      <c r="L20" s="99"/>
      <c r="M20" s="99"/>
      <c r="N20" s="99"/>
      <c r="O20" s="99"/>
      <c r="P20" s="99"/>
      <c r="XEZ20" s="99"/>
      <c r="XFA20" s="99"/>
    </row>
    <row r="21" spans="1:16 16380:16383" ht="15" customHeight="1">
      <c r="A21" s="113"/>
      <c r="B21" s="90"/>
      <c r="C21" s="89"/>
      <c r="D21" s="90"/>
      <c r="E21" s="90"/>
      <c r="F21" s="89"/>
      <c r="G21" s="90"/>
      <c r="H21" s="89"/>
      <c r="I21" s="89"/>
      <c r="J21" s="118"/>
      <c r="K21" s="99"/>
      <c r="L21" s="99"/>
      <c r="M21" s="99"/>
      <c r="N21" s="99"/>
      <c r="O21" s="99"/>
      <c r="P21" s="99"/>
      <c r="XEZ21" s="99"/>
      <c r="XFA21" s="99"/>
    </row>
    <row r="22" spans="1:16 16380:16383" ht="15" customHeight="1" thickBot="1">
      <c r="A22" s="128"/>
      <c r="B22" s="129"/>
      <c r="C22" s="130"/>
      <c r="D22" s="129"/>
      <c r="E22" s="131"/>
      <c r="F22" s="130"/>
      <c r="G22" s="131"/>
      <c r="H22" s="132"/>
      <c r="I22" s="129"/>
      <c r="J22" s="133"/>
      <c r="K22" s="99"/>
      <c r="L22" s="99"/>
      <c r="M22" s="99"/>
      <c r="N22" s="99"/>
      <c r="O22" s="99"/>
      <c r="P22" s="99"/>
      <c r="XFB22" s="99"/>
    </row>
    <row r="23" spans="1:16 16380:16383" ht="15" customHeight="1">
      <c r="A23" s="107"/>
      <c r="B23" s="108"/>
      <c r="C23" s="108"/>
      <c r="D23" s="108"/>
      <c r="E23" s="108"/>
      <c r="F23" s="109"/>
      <c r="G23" s="110"/>
      <c r="H23" s="111"/>
      <c r="I23" s="108"/>
      <c r="J23" s="112"/>
      <c r="K23" s="99"/>
      <c r="L23" s="99"/>
      <c r="M23" s="99"/>
      <c r="N23" s="99"/>
      <c r="O23" s="99"/>
      <c r="P23" s="99"/>
      <c r="XFB23" s="99"/>
    </row>
    <row r="24" spans="1:16 16380:16383" ht="15" customHeight="1">
      <c r="A24" s="113"/>
      <c r="B24" s="114" t="s">
        <v>6</v>
      </c>
      <c r="C24" s="114"/>
      <c r="D24" s="115" t="s">
        <v>100</v>
      </c>
      <c r="E24" s="115"/>
      <c r="F24" s="116">
        <v>150</v>
      </c>
      <c r="G24" s="117" t="s">
        <v>101</v>
      </c>
      <c r="H24" s="89"/>
      <c r="I24" s="89"/>
      <c r="J24" s="118"/>
      <c r="K24" s="99"/>
      <c r="L24" s="99"/>
      <c r="M24" s="99"/>
      <c r="N24" s="99"/>
      <c r="O24" s="99"/>
      <c r="P24" s="99"/>
      <c r="XFB24" s="99"/>
    </row>
    <row r="25" spans="1:16 16380:16383" ht="15" customHeight="1">
      <c r="A25" s="113"/>
      <c r="B25" s="114"/>
      <c r="C25" s="114"/>
      <c r="D25" s="115"/>
      <c r="E25" s="115"/>
      <c r="F25" s="116"/>
      <c r="G25" s="117"/>
      <c r="H25" s="89"/>
      <c r="I25" s="89"/>
      <c r="J25" s="118"/>
      <c r="K25" s="99"/>
      <c r="L25" s="99"/>
      <c r="M25" s="99"/>
      <c r="N25" s="99"/>
      <c r="O25" s="99"/>
      <c r="P25" s="99"/>
      <c r="XFB25" s="99"/>
    </row>
    <row r="26" spans="1:16 16380:16383" ht="15" customHeight="1">
      <c r="A26" s="121"/>
      <c r="B26" s="90"/>
      <c r="C26" s="90"/>
      <c r="D26" s="90"/>
      <c r="E26" s="90"/>
      <c r="F26" s="122"/>
      <c r="G26" s="90"/>
      <c r="H26" s="98"/>
      <c r="I26" s="90"/>
      <c r="J26" s="118"/>
      <c r="K26" s="99"/>
      <c r="L26" s="99"/>
      <c r="M26" s="99"/>
      <c r="N26" s="99"/>
      <c r="O26" s="99"/>
      <c r="P26" s="99"/>
      <c r="XFB26" s="99"/>
    </row>
    <row r="27" spans="1:16 16380:16383" ht="15" customHeight="1">
      <c r="A27" s="123"/>
      <c r="B27" s="103"/>
      <c r="C27" s="90"/>
      <c r="D27" s="103"/>
      <c r="E27" s="90"/>
      <c r="F27" s="90"/>
      <c r="G27" s="89"/>
      <c r="H27" s="90"/>
      <c r="I27" s="90"/>
      <c r="J27" s="118"/>
      <c r="K27" s="99"/>
      <c r="L27" s="99"/>
      <c r="M27" s="99"/>
      <c r="N27" s="99"/>
      <c r="O27" s="99"/>
      <c r="P27" s="99"/>
      <c r="XFB27" s="99"/>
      <c r="XFC27" s="99" t="s">
        <v>105</v>
      </c>
    </row>
    <row r="28" spans="1:16 16380:16383" ht="18.75" customHeight="1">
      <c r="A28" s="121"/>
      <c r="B28" s="124" t="s">
        <v>111</v>
      </c>
      <c r="C28" s="124"/>
      <c r="D28" s="124"/>
      <c r="E28" s="124"/>
      <c r="F28" s="125" t="s">
        <v>116</v>
      </c>
      <c r="G28" s="125"/>
      <c r="H28" s="125"/>
      <c r="I28" s="90"/>
      <c r="J28" s="118"/>
      <c r="K28" s="126"/>
      <c r="L28" s="126"/>
      <c r="M28" s="126"/>
      <c r="N28" s="99"/>
      <c r="O28" s="99"/>
      <c r="P28" s="99"/>
      <c r="XEZ28" s="99" t="s">
        <v>106</v>
      </c>
      <c r="XFA28" s="99" t="str">
        <f>IF(F28="Pause instable","Pause",IF(F28="Mauvaise trajectoire","Traj","R"))</f>
        <v>R</v>
      </c>
      <c r="XFB28" s="99"/>
      <c r="XFC28" s="99" t="str">
        <f>IF((('[1]BLOCK 1'!$S$33)+('[1]BLOCK 1'!$S$45))&gt;(('[1]BLOCK 1'!$Y$35)+ ('[1]BLOCK 1'!$Y$47)),"BAD","GOOD")</f>
        <v>GOOD</v>
      </c>
    </row>
    <row r="29" spans="1:16 16380:16383" ht="15" customHeight="1">
      <c r="A29" s="121"/>
      <c r="B29" s="90"/>
      <c r="C29" s="90"/>
      <c r="D29" s="92"/>
      <c r="E29" s="92"/>
      <c r="F29" s="90"/>
      <c r="G29" s="90"/>
      <c r="H29" s="90"/>
      <c r="I29" s="90"/>
      <c r="J29" s="118"/>
      <c r="K29" s="99"/>
      <c r="L29" s="99"/>
      <c r="M29" s="99"/>
      <c r="N29" s="99"/>
      <c r="O29" s="99"/>
      <c r="P29" s="99"/>
      <c r="XFB29" s="99"/>
    </row>
    <row r="30" spans="1:16 16380:16383" ht="15" customHeight="1">
      <c r="A30" s="121"/>
      <c r="B30" s="90"/>
      <c r="C30" s="90"/>
      <c r="D30" s="92"/>
      <c r="E30" s="92"/>
      <c r="F30" s="90"/>
      <c r="G30" s="90"/>
      <c r="H30" s="90"/>
      <c r="I30" s="90"/>
      <c r="J30" s="118"/>
      <c r="K30" s="99"/>
      <c r="L30" s="99"/>
      <c r="M30" s="99"/>
      <c r="N30" s="99"/>
      <c r="O30" s="99"/>
      <c r="P30" s="99"/>
      <c r="XFB30" s="99"/>
    </row>
    <row r="31" spans="1:16 16380:16383" ht="18.75" customHeight="1">
      <c r="A31" s="121"/>
      <c r="B31" s="124" t="s">
        <v>104</v>
      </c>
      <c r="C31" s="124"/>
      <c r="D31" s="124"/>
      <c r="E31" s="124"/>
      <c r="F31" s="125" t="s">
        <v>117</v>
      </c>
      <c r="G31" s="125"/>
      <c r="H31" s="125"/>
      <c r="I31" s="90"/>
      <c r="J31" s="118"/>
      <c r="K31" s="127"/>
      <c r="L31" s="127"/>
      <c r="M31" s="127"/>
      <c r="N31" s="99"/>
      <c r="O31" s="99"/>
      <c r="P31" s="99"/>
      <c r="XEZ31" s="99" t="s">
        <v>107</v>
      </c>
      <c r="XFA31" s="99" t="str">
        <f>IF(F31="Tout en bas","Bas",IF(F31="Milieu de remontée","Milieu","Fin"))</f>
        <v>Fin</v>
      </c>
      <c r="XFB31" s="99"/>
    </row>
    <row r="32" spans="1:16 16380:16383" ht="15" customHeight="1">
      <c r="A32" s="113"/>
      <c r="B32" s="90"/>
      <c r="C32" s="89"/>
      <c r="D32" s="90"/>
      <c r="E32" s="90"/>
      <c r="F32" s="89"/>
      <c r="G32" s="90"/>
      <c r="H32" s="89"/>
      <c r="I32" s="89"/>
      <c r="J32" s="118"/>
      <c r="K32" s="99"/>
      <c r="L32" s="99"/>
      <c r="M32" s="99"/>
      <c r="N32" s="99"/>
      <c r="O32" s="99"/>
      <c r="P32" s="99"/>
      <c r="XFB32" s="99"/>
    </row>
    <row r="33" spans="1:16 16380:16384" ht="15" customHeight="1">
      <c r="A33" s="113"/>
      <c r="B33" s="90"/>
      <c r="C33" s="89"/>
      <c r="D33" s="90"/>
      <c r="E33" s="90"/>
      <c r="F33" s="89"/>
      <c r="G33" s="90"/>
      <c r="H33" s="89"/>
      <c r="I33" s="89"/>
      <c r="J33" s="118"/>
      <c r="K33" s="99"/>
      <c r="L33" s="99"/>
      <c r="M33" s="99"/>
      <c r="N33" s="99"/>
      <c r="O33" s="99"/>
      <c r="P33" s="99"/>
      <c r="XFB33" s="99"/>
    </row>
    <row r="34" spans="1:16 16380:16384" ht="15" customHeight="1" thickBot="1">
      <c r="A34" s="128"/>
      <c r="B34" s="129"/>
      <c r="C34" s="130"/>
      <c r="D34" s="129"/>
      <c r="E34" s="131"/>
      <c r="F34" s="130"/>
      <c r="G34" s="131"/>
      <c r="H34" s="132"/>
      <c r="I34" s="129"/>
      <c r="J34" s="133"/>
      <c r="K34" s="99"/>
      <c r="L34" s="99"/>
      <c r="M34" s="99"/>
      <c r="N34" s="99"/>
      <c r="O34" s="99"/>
      <c r="P34" s="99"/>
      <c r="XFB34" s="99"/>
    </row>
    <row r="35" spans="1:16 16380:16384" ht="15" customHeight="1">
      <c r="A35" s="107"/>
      <c r="B35" s="108"/>
      <c r="C35" s="108"/>
      <c r="D35" s="108"/>
      <c r="E35" s="108"/>
      <c r="F35" s="109"/>
      <c r="G35" s="110"/>
      <c r="H35" s="111"/>
      <c r="I35" s="108"/>
      <c r="J35" s="112"/>
      <c r="K35" s="99"/>
      <c r="L35" s="99"/>
      <c r="M35" s="99"/>
      <c r="N35" s="99"/>
      <c r="O35" s="99"/>
      <c r="P35" s="99"/>
      <c r="XFB35" s="99"/>
    </row>
    <row r="36" spans="1:16 16380:16384" ht="15" customHeight="1">
      <c r="A36" s="113" t="s">
        <v>112</v>
      </c>
      <c r="B36" s="134" t="s">
        <v>114</v>
      </c>
      <c r="C36" s="134"/>
      <c r="D36" s="115" t="s">
        <v>100</v>
      </c>
      <c r="E36" s="115"/>
      <c r="F36" s="116">
        <v>305</v>
      </c>
      <c r="G36" s="117" t="s">
        <v>101</v>
      </c>
      <c r="H36" s="89"/>
      <c r="I36" s="89"/>
      <c r="J36" s="118"/>
      <c r="K36" s="99"/>
      <c r="L36" s="99"/>
      <c r="M36" s="99"/>
      <c r="N36" s="99"/>
      <c r="O36" s="99"/>
      <c r="P36" s="99"/>
      <c r="XFB36" s="99"/>
    </row>
    <row r="37" spans="1:16 16380:16384" ht="15" customHeight="1">
      <c r="A37" s="113" t="s">
        <v>74</v>
      </c>
      <c r="B37" s="134"/>
      <c r="C37" s="134"/>
      <c r="D37" s="115"/>
      <c r="E37" s="115"/>
      <c r="F37" s="116"/>
      <c r="G37" s="117"/>
      <c r="H37" s="89"/>
      <c r="I37" s="89"/>
      <c r="J37" s="118"/>
      <c r="K37" s="99"/>
      <c r="L37" s="99"/>
      <c r="M37" s="99"/>
      <c r="N37" s="99"/>
      <c r="O37" s="99"/>
      <c r="P37" s="99"/>
      <c r="XFB37" s="119">
        <f>AVERAGE((('[1]BLOCK 1'!$M$7*9*0.0333)+'[1]BLOCK 1'!$M$7),(('[1]BLOCK 1'!$M$19*8*0.0333)+'[1]BLOCK 1'!$M$19),(('[1]BLOCK 1'!$M$31*7*0.0333)+'[1]BLOCK 1'!$M$31),(('[1]BLOCK 1'!$M$43*6*0.0333)+'[1]BLOCK 1'!$M$43))</f>
        <v>0</v>
      </c>
      <c r="XFD37" s="119">
        <f>AVERAGE((('[1]BLOCK 1'!$Y$9*5.5*0.0333)+'[1]BLOCK 1'!$Y$9),(('[1]BLOCK 1'!$Y$21*5*0.0333)+'[1]BLOCK 1'!$Y$21),(('[1]BLOCK 1'!$Y$33*4.5*0.0333)+'[1]BLOCK 1'!$Y$33),(('[1]BLOCK 1'!$Y$45*4.5*0.0333)+'[1]BLOCK 1'!$Y$45))</f>
        <v>0</v>
      </c>
    </row>
    <row r="38" spans="1:16 16380:16384" ht="15" customHeight="1">
      <c r="A38" s="121"/>
      <c r="B38" s="90"/>
      <c r="C38" s="90"/>
      <c r="D38" s="90"/>
      <c r="E38" s="90"/>
      <c r="F38" s="122"/>
      <c r="G38" s="90"/>
      <c r="H38" s="98"/>
      <c r="I38" s="90"/>
      <c r="J38" s="118"/>
      <c r="K38" s="99"/>
      <c r="L38" s="99"/>
      <c r="M38" s="99"/>
      <c r="N38" s="99"/>
      <c r="O38" s="99"/>
      <c r="P38" s="99"/>
      <c r="XFB38" s="119">
        <f>IF($B$36="SDT SUMO",$XFB$37*0.95,$XFB$37)</f>
        <v>0</v>
      </c>
    </row>
    <row r="39" spans="1:16 16380:16384" ht="15" customHeight="1">
      <c r="A39" s="123"/>
      <c r="B39" s="103"/>
      <c r="C39" s="90"/>
      <c r="D39" s="103"/>
      <c r="E39" s="90"/>
      <c r="F39" s="90"/>
      <c r="G39" s="89"/>
      <c r="H39" s="90"/>
      <c r="I39" s="90"/>
      <c r="J39" s="118"/>
      <c r="K39" s="99"/>
      <c r="L39" s="99"/>
      <c r="M39" s="99"/>
      <c r="N39" s="99"/>
      <c r="O39" s="99"/>
      <c r="P39" s="99"/>
      <c r="XFB39" s="99"/>
      <c r="XFC39" s="99" t="s">
        <v>108</v>
      </c>
    </row>
    <row r="40" spans="1:16 16380:16384" ht="18.75" customHeight="1">
      <c r="A40" s="121"/>
      <c r="B40" s="124" t="s">
        <v>111</v>
      </c>
      <c r="C40" s="124"/>
      <c r="D40" s="124"/>
      <c r="E40" s="124"/>
      <c r="F40" s="125" t="s">
        <v>118</v>
      </c>
      <c r="G40" s="125"/>
      <c r="H40" s="125"/>
      <c r="I40" s="90"/>
      <c r="J40" s="118"/>
      <c r="K40" s="126"/>
      <c r="L40" s="126"/>
      <c r="M40" s="126"/>
      <c r="N40" s="99"/>
      <c r="O40" s="99"/>
      <c r="P40" s="99"/>
      <c r="XEZ40" s="99" t="s">
        <v>109</v>
      </c>
      <c r="XFA40" s="99" t="str">
        <f>IF(F40="Bas du dos rond","Dos",IF(F40="Bassin qui remonte en premier","Bassin",IF(F40="Genoux qui rentrent","Genoux","R")))</f>
        <v>R</v>
      </c>
      <c r="XFB40" s="99"/>
      <c r="XFC40" s="99" t="str">
        <f>IF($XFB$38&gt;$XFD$37,"BAD","GOOD")</f>
        <v>GOOD</v>
      </c>
    </row>
    <row r="41" spans="1:16 16380:16384" ht="15" customHeight="1">
      <c r="A41" s="121"/>
      <c r="B41" s="90"/>
      <c r="C41" s="90"/>
      <c r="D41" s="92"/>
      <c r="E41" s="92"/>
      <c r="F41" s="90"/>
      <c r="G41" s="90"/>
      <c r="H41" s="90"/>
      <c r="I41" s="90"/>
      <c r="J41" s="118"/>
      <c r="K41" s="99"/>
      <c r="L41" s="99"/>
      <c r="M41" s="99"/>
      <c r="N41" s="99"/>
      <c r="O41" s="99"/>
      <c r="P41" s="99"/>
      <c r="XFB41" s="99"/>
    </row>
    <row r="42" spans="1:16 16380:16384" ht="15" customHeight="1">
      <c r="A42" s="113"/>
      <c r="B42" s="90"/>
      <c r="C42" s="89"/>
      <c r="D42" s="90"/>
      <c r="E42" s="90"/>
      <c r="F42" s="89"/>
      <c r="G42" s="90"/>
      <c r="H42" s="89"/>
      <c r="I42" s="89"/>
      <c r="J42" s="118"/>
      <c r="K42" s="99"/>
      <c r="L42" s="99"/>
      <c r="M42" s="99"/>
      <c r="N42" s="99"/>
      <c r="O42" s="99"/>
      <c r="P42" s="99"/>
      <c r="XFB42" s="99"/>
    </row>
    <row r="43" spans="1:16 16380:16384" ht="15" customHeight="1" thickBot="1">
      <c r="A43" s="128"/>
      <c r="B43" s="129"/>
      <c r="C43" s="130"/>
      <c r="D43" s="129"/>
      <c r="E43" s="131"/>
      <c r="F43" s="130"/>
      <c r="G43" s="131"/>
      <c r="H43" s="132"/>
      <c r="I43" s="129"/>
      <c r="J43" s="133"/>
      <c r="K43" s="99"/>
      <c r="L43" s="99"/>
      <c r="M43" s="99"/>
      <c r="N43" s="99"/>
      <c r="O43" s="99"/>
      <c r="P43" s="99"/>
      <c r="XFB43" s="99" t="e">
        <f>$XFB$10*#REF!</f>
        <v>#REF!</v>
      </c>
    </row>
    <row r="44" spans="1:16 16380:16384" ht="15" customHeight="1">
      <c r="A44" s="89"/>
      <c r="B44" s="90"/>
      <c r="C44" s="89"/>
      <c r="D44" s="90"/>
      <c r="E44" s="122"/>
      <c r="F44" s="89"/>
      <c r="G44" s="122"/>
      <c r="H44" s="103"/>
      <c r="I44" s="90"/>
      <c r="J44" s="90"/>
      <c r="K44" s="99"/>
      <c r="L44" s="99"/>
      <c r="M44" s="99"/>
      <c r="N44" s="99"/>
      <c r="O44" s="99"/>
      <c r="P44" s="99"/>
    </row>
    <row r="45" spans="1:16 16380:16384" ht="21.75" customHeight="1">
      <c r="A45" s="90"/>
      <c r="B45" s="90"/>
      <c r="C45" s="138" t="s">
        <v>113</v>
      </c>
      <c r="D45" s="139"/>
      <c r="E45" s="139"/>
      <c r="F45" s="139"/>
      <c r="G45" s="139"/>
      <c r="H45" s="139"/>
      <c r="I45" s="90"/>
      <c r="J45" s="90"/>
      <c r="K45" s="99"/>
      <c r="L45" s="99"/>
      <c r="M45" s="99"/>
      <c r="N45" s="99"/>
      <c r="O45" s="99"/>
      <c r="P45" s="99"/>
    </row>
    <row r="46" spans="1:16 16380:16384" ht="15" customHeight="1">
      <c r="B46" s="92"/>
      <c r="C46" s="89"/>
      <c r="D46" s="89"/>
      <c r="E46" s="89"/>
      <c r="F46" s="94"/>
      <c r="G46" s="89"/>
      <c r="H46" s="89"/>
    </row>
    <row r="47" spans="1:16 16380:16384" ht="15" hidden="1" customHeight="1">
      <c r="E47" s="136"/>
      <c r="F47" s="137"/>
    </row>
    <row r="48" spans="1:16 16380:16384" ht="15" hidden="1" customHeight="1">
      <c r="E48" s="136"/>
      <c r="F48" s="136"/>
    </row>
    <row r="49" ht="15" hidden="1" customHeight="1"/>
    <row r="50" ht="0" hidden="1" customHeight="1"/>
    <row r="51" ht="0" hidden="1" customHeight="1"/>
    <row r="52" ht="0" hidden="1" customHeight="1"/>
    <row r="53" ht="0" hidden="1" customHeight="1"/>
    <row r="54" ht="0" hidden="1" customHeight="1"/>
    <row r="55" ht="0" hidden="1" customHeight="1"/>
    <row r="56" ht="0" hidden="1" customHeight="1"/>
    <row r="57" ht="0" hidden="1" customHeight="1"/>
    <row r="58" ht="0" hidden="1" customHeight="1"/>
    <row r="59" ht="0" hidden="1" customHeight="1"/>
  </sheetData>
  <sheetProtection selectLockedCells="1"/>
  <mergeCells count="24">
    <mergeCell ref="C45:H45"/>
    <mergeCell ref="B40:E40"/>
    <mergeCell ref="F40:H40"/>
    <mergeCell ref="B31:E31"/>
    <mergeCell ref="F31:H31"/>
    <mergeCell ref="B36:C37"/>
    <mergeCell ref="D36:E37"/>
    <mergeCell ref="F36:F37"/>
    <mergeCell ref="G36:G37"/>
    <mergeCell ref="B24:C25"/>
    <mergeCell ref="D24:E25"/>
    <mergeCell ref="F24:F25"/>
    <mergeCell ref="G24:G25"/>
    <mergeCell ref="B28:E28"/>
    <mergeCell ref="F28:H28"/>
    <mergeCell ref="B19:E19"/>
    <mergeCell ref="F19:H19"/>
    <mergeCell ref="D1:G2"/>
    <mergeCell ref="C3:H5"/>
    <mergeCell ref="XFA13:XFC13"/>
    <mergeCell ref="B15:C16"/>
    <mergeCell ref="D15:E16"/>
    <mergeCell ref="F15:F16"/>
    <mergeCell ref="G15:G16"/>
  </mergeCells>
  <dataValidations count="7">
    <dataValidation type="list" allowBlank="1" showInputMessage="1" showErrorMessage="1" sqref="B36:C37" xr:uid="{05F0460E-F852-4DAF-845E-439C8A96FD10}">
      <formula1>"SDT SUMO,SDT TRADI"</formula1>
    </dataValidation>
    <dataValidation type="list" allowBlank="1" showInputMessage="1" showErrorMessage="1" sqref="F40:H40" xr:uid="{E166A9BA-C1C6-44F6-A537-0508F9F046DB}">
      <formula1>"SDT Pausé,SDT Deficit,SDT depuis des blocks"</formula1>
    </dataValidation>
    <dataValidation type="list" allowBlank="1" showInputMessage="1" showErrorMessage="1" sqref="F28:H28" xr:uid="{E3BB585D-9CC0-4CBE-8ABF-D036783EBDEB}">
      <formula1>"DC Serré,Larsen Press Prise Moyenne"</formula1>
    </dataValidation>
    <dataValidation type="list" allowBlank="1" showInputMessage="1" showErrorMessage="1" sqref="F12" xr:uid="{250FE470-1D14-4CEA-8ACB-F11B3462F5E1}">
      <mc:AlternateContent xmlns:x12ac="http://schemas.microsoft.com/office/spreadsheetml/2011/1/ac" xmlns:mc="http://schemas.openxmlformats.org/markup-compatibility/2006">
        <mc:Choice Requires="x12ac">
          <x12ac:list>1,"2,5",5</x12ac:list>
        </mc:Choice>
        <mc:Fallback>
          <formula1>"1,2,5,5"</formula1>
        </mc:Fallback>
      </mc:AlternateContent>
    </dataValidation>
    <dataValidation type="list" allowBlank="1" showInputMessage="1" showErrorMessage="1" sqref="D8" xr:uid="{ACC8EBEA-09F9-4238-9AA6-43872FBAEDBD}">
      <formula1>"HOMME,FEMME"</formula1>
    </dataValidation>
    <dataValidation type="list" allowBlank="1" showInputMessage="1" showErrorMessage="1" sqref="F19:H19" xr:uid="{01B8D3F6-365F-4637-A510-E64C5295289C}">
      <formula1>"Squat Barre Haute,Squat Pause,Squat Tempo 3:0:0"</formula1>
    </dataValidation>
    <dataValidation type="list" allowBlank="1" showInputMessage="1" showErrorMessage="1" sqref="F31:H31" xr:uid="{A875DDC1-7A5F-40C4-95F4-7917B922F0D7}">
      <formula1>"Pontage / Placement,Trajectoire,Stabilité,Tension dans pause"</formula1>
    </dataValidation>
  </dataValidations>
  <hyperlinks>
    <hyperlink ref="C45" r:id="rId1" xr:uid="{B502870A-87EA-4496-85C8-94038FD63866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27"/>
  <sheetViews>
    <sheetView showGridLines="0" zoomScale="90" zoomScaleNormal="90" workbookViewId="0">
      <selection activeCell="Y28" sqref="Y28"/>
    </sheetView>
  </sheetViews>
  <sheetFormatPr defaultColWidth="0" defaultRowHeight="15.75" zeroHeight="1"/>
  <cols>
    <col min="1" max="1" width="22.85546875" style="30" customWidth="1"/>
    <col min="2" max="2" width="0.7109375" style="30" customWidth="1"/>
    <col min="3" max="3" width="22.85546875" style="30" customWidth="1"/>
    <col min="4" max="5" width="7.85546875" style="30" customWidth="1"/>
    <col min="6" max="6" width="11.42578125" style="30" customWidth="1"/>
    <col min="7" max="7" width="5.7109375" style="30" customWidth="1"/>
    <col min="8" max="8" width="22.85546875" style="30" customWidth="1"/>
    <col min="9" max="10" width="7.85546875" style="30" customWidth="1"/>
    <col min="11" max="11" width="11.42578125" style="30" customWidth="1"/>
    <col min="12" max="12" width="5.7109375" style="30" customWidth="1"/>
    <col min="13" max="13" width="22.85546875" style="30" customWidth="1"/>
    <col min="14" max="15" width="7.85546875" style="30" customWidth="1"/>
    <col min="16" max="16" width="11.42578125" style="30" customWidth="1"/>
    <col min="17" max="17" width="0.5703125" style="4" customWidth="1"/>
    <col min="18" max="18" width="22.85546875" style="30" customWidth="1"/>
    <col min="19" max="20" width="7.85546875" style="30" customWidth="1"/>
    <col min="21" max="21" width="11.42578125" style="30" customWidth="1"/>
    <col min="22" max="22" width="5.7109375" style="30" customWidth="1"/>
    <col min="23" max="23" width="0.7109375" style="4" customWidth="1"/>
    <col min="24" max="24" width="11.42578125" style="4" customWidth="1"/>
    <col min="25" max="27" width="11.42578125" style="1" customWidth="1"/>
    <col min="28" max="28" width="0" hidden="1" customWidth="1"/>
    <col min="29" max="16384" width="11.42578125" hidden="1"/>
  </cols>
  <sheetData>
    <row r="1" spans="1:24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R1" s="4"/>
      <c r="S1" s="4"/>
      <c r="T1" s="4"/>
      <c r="U1" s="4"/>
      <c r="V1" s="4"/>
    </row>
    <row r="2" spans="1:24" ht="22.5" customHeight="1">
      <c r="A2" s="4"/>
      <c r="B2" s="4"/>
      <c r="C2" s="140" t="s">
        <v>119</v>
      </c>
      <c r="D2" s="140"/>
      <c r="E2" s="140"/>
      <c r="F2" s="140"/>
      <c r="G2" s="4"/>
      <c r="H2" s="140" t="s">
        <v>120</v>
      </c>
      <c r="I2" s="140"/>
      <c r="J2" s="140"/>
      <c r="K2" s="140"/>
      <c r="L2" s="4"/>
      <c r="M2" s="140" t="s">
        <v>121</v>
      </c>
      <c r="N2" s="140"/>
      <c r="O2" s="140"/>
      <c r="P2" s="140"/>
      <c r="R2" s="140" t="s">
        <v>122</v>
      </c>
      <c r="S2" s="140"/>
      <c r="T2" s="140"/>
      <c r="U2" s="140"/>
      <c r="V2" s="4"/>
    </row>
    <row r="3" spans="1:24" ht="9" customHeight="1" thickBo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R3" s="4"/>
      <c r="S3" s="4"/>
      <c r="T3" s="4"/>
      <c r="U3" s="4"/>
      <c r="V3" s="4"/>
    </row>
    <row r="4" spans="1:24" ht="25.5" customHeight="1">
      <c r="A4" s="4"/>
      <c r="B4" s="42"/>
      <c r="C4" s="71" t="s">
        <v>47</v>
      </c>
      <c r="D4" s="71"/>
      <c r="E4" s="71"/>
      <c r="F4" s="71"/>
      <c r="G4" s="68" t="s">
        <v>46</v>
      </c>
      <c r="H4" s="71" t="s">
        <v>52</v>
      </c>
      <c r="I4" s="71"/>
      <c r="J4" s="71"/>
      <c r="K4" s="71"/>
      <c r="L4" s="68" t="s">
        <v>46</v>
      </c>
      <c r="M4" s="71" t="s">
        <v>53</v>
      </c>
      <c r="N4" s="71"/>
      <c r="O4" s="71"/>
      <c r="P4" s="71"/>
      <c r="Q4" s="6"/>
      <c r="R4" s="71" t="s">
        <v>54</v>
      </c>
      <c r="S4" s="71"/>
      <c r="T4" s="71"/>
      <c r="U4" s="71"/>
      <c r="V4" s="68" t="s">
        <v>46</v>
      </c>
    </row>
    <row r="5" spans="1:24" ht="1.5" customHeight="1">
      <c r="A5" s="4"/>
      <c r="B5" s="5"/>
      <c r="C5" s="7"/>
      <c r="D5" s="8"/>
      <c r="E5" s="8"/>
      <c r="F5" s="8"/>
      <c r="G5" s="69"/>
      <c r="H5" s="9"/>
      <c r="I5" s="10"/>
      <c r="J5" s="10"/>
      <c r="K5" s="10"/>
      <c r="L5" s="69"/>
      <c r="M5" s="7"/>
      <c r="N5" s="8"/>
      <c r="O5" s="8"/>
      <c r="P5" s="8"/>
      <c r="Q5" s="6"/>
      <c r="R5" s="7"/>
      <c r="S5" s="8"/>
      <c r="T5" s="8"/>
      <c r="U5" s="8"/>
      <c r="V5" s="69"/>
    </row>
    <row r="6" spans="1:24" ht="18.75" customHeight="1">
      <c r="A6" s="4"/>
      <c r="B6" s="5"/>
      <c r="C6" s="2" t="s">
        <v>2</v>
      </c>
      <c r="D6" s="3" t="s">
        <v>3</v>
      </c>
      <c r="E6" s="3" t="s">
        <v>4</v>
      </c>
      <c r="F6" s="3" t="s">
        <v>5</v>
      </c>
      <c r="G6" s="69"/>
      <c r="H6" s="11" t="s">
        <v>2</v>
      </c>
      <c r="I6" s="12" t="s">
        <v>3</v>
      </c>
      <c r="J6" s="12" t="s">
        <v>4</v>
      </c>
      <c r="K6" s="12" t="s">
        <v>5</v>
      </c>
      <c r="L6" s="69"/>
      <c r="M6" s="11" t="s">
        <v>2</v>
      </c>
      <c r="N6" s="12" t="s">
        <v>3</v>
      </c>
      <c r="O6" s="12" t="s">
        <v>4</v>
      </c>
      <c r="P6" s="12" t="s">
        <v>5</v>
      </c>
      <c r="Q6" s="13"/>
      <c r="R6" s="11" t="s">
        <v>2</v>
      </c>
      <c r="S6" s="12" t="s">
        <v>3</v>
      </c>
      <c r="T6" s="12" t="s">
        <v>4</v>
      </c>
      <c r="U6" s="12" t="s">
        <v>5</v>
      </c>
      <c r="V6" s="69"/>
    </row>
    <row r="7" spans="1:24">
      <c r="A7" s="4"/>
      <c r="B7" s="5"/>
      <c r="C7" s="72" t="s">
        <v>0</v>
      </c>
      <c r="D7" s="36">
        <v>1</v>
      </c>
      <c r="E7" s="36">
        <v>8</v>
      </c>
      <c r="F7" s="36" t="str">
        <f>MROUND(PROFIL!$F$15*0.725,(PROFIL!$F$12))&amp;"kg"</f>
        <v>167,5kg</v>
      </c>
      <c r="G7" s="69"/>
      <c r="H7" s="35" t="str">
        <f>PROFIL!$F$19</f>
        <v>Squat Barre Haute</v>
      </c>
      <c r="I7" s="35" t="str">
        <f>IF(PROFIL!$D$8="Femme","5","4")</f>
        <v>4</v>
      </c>
      <c r="J7" s="36">
        <v>6</v>
      </c>
      <c r="K7" s="36" t="str">
        <f>MROUND(PROFIL!$F$15*0.625,(PROFIL!$F$12))&amp;"kg"</f>
        <v>145kg</v>
      </c>
      <c r="L7" s="69"/>
      <c r="M7" s="72" t="s">
        <v>0</v>
      </c>
      <c r="N7" s="36">
        <v>1</v>
      </c>
      <c r="O7" s="36">
        <v>4</v>
      </c>
      <c r="P7" s="40" t="str">
        <f>MROUND(PROFIL!$F$15*0.825,(PROFIL!$F$12))&amp;"kg"</f>
        <v>192,5kg</v>
      </c>
      <c r="Q7" s="43"/>
      <c r="R7" s="72" t="s">
        <v>36</v>
      </c>
      <c r="S7" s="35">
        <v>1</v>
      </c>
      <c r="T7" s="35">
        <v>4</v>
      </c>
      <c r="U7" s="35" t="str">
        <f>MROUND(PROFIL!$F$36*0.825,(PROFIL!$F$12))&amp;"kg"</f>
        <v>252,5kg</v>
      </c>
      <c r="V7" s="69"/>
    </row>
    <row r="8" spans="1:24">
      <c r="A8" s="4"/>
      <c r="B8" s="5"/>
      <c r="C8" s="72"/>
      <c r="D8" s="36">
        <v>3</v>
      </c>
      <c r="E8" s="36">
        <v>8</v>
      </c>
      <c r="F8" s="36" t="str">
        <f>MROUND((PROFIL!$F$15*0.725)*0.9,(PROFIL!$F$12))&amp;"kg"</f>
        <v>152,5kg</v>
      </c>
      <c r="G8" s="69"/>
      <c r="H8" s="73" t="str">
        <f>PROFIL!$F$28</f>
        <v>DC Serré</v>
      </c>
      <c r="I8" s="14" t="s">
        <v>8</v>
      </c>
      <c r="J8" s="15">
        <v>10</v>
      </c>
      <c r="K8" s="15" t="s">
        <v>9</v>
      </c>
      <c r="L8" s="69"/>
      <c r="M8" s="72"/>
      <c r="N8" s="36">
        <v>3</v>
      </c>
      <c r="O8" s="36">
        <v>5</v>
      </c>
      <c r="P8" s="40" t="str">
        <f>MROUND((PROFIL!$F$15*0.825)*0.875,(PROFIL!$F$12))&amp;"kg"</f>
        <v>167,5kg</v>
      </c>
      <c r="Q8" s="43"/>
      <c r="R8" s="72"/>
      <c r="S8" s="35">
        <f>IF(PROFIL!$G$10&gt;84,2,3)</f>
        <v>3</v>
      </c>
      <c r="T8" s="44" t="s">
        <v>30</v>
      </c>
      <c r="U8" s="35" t="str">
        <f>MROUND((PROFIL!$F$36*0.825)*0.85,(PROFIL!$F$12))&amp;"kg"</f>
        <v>215kg</v>
      </c>
      <c r="V8" s="69"/>
    </row>
    <row r="9" spans="1:24">
      <c r="A9" s="4"/>
      <c r="B9" s="5"/>
      <c r="C9" s="74" t="s">
        <v>6</v>
      </c>
      <c r="D9" s="15">
        <v>1</v>
      </c>
      <c r="E9" s="15">
        <v>8</v>
      </c>
      <c r="F9" s="15" t="str">
        <f>MROUND(PROFIL!$F$24*0.725,(PROFIL!$F$12))&amp;"kg"</f>
        <v>110kg</v>
      </c>
      <c r="G9" s="69"/>
      <c r="H9" s="73"/>
      <c r="I9" s="16" t="str">
        <f>IF(PROFIL!G10&gt;84,2,"3")</f>
        <v>3</v>
      </c>
      <c r="J9" s="16" t="str">
        <f>IF(PROFIL!D8="Femme","12","10")</f>
        <v>10</v>
      </c>
      <c r="K9" s="17">
        <v>-0.1</v>
      </c>
      <c r="L9" s="69"/>
      <c r="M9" s="74" t="s">
        <v>6</v>
      </c>
      <c r="N9" s="15">
        <v>1</v>
      </c>
      <c r="O9" s="15">
        <v>4</v>
      </c>
      <c r="P9" s="19" t="str">
        <f>MROUND(PROFIL!$F$24*0.825,(PROFIL!$F$12))&amp;"kg"</f>
        <v>125kg</v>
      </c>
      <c r="Q9" s="18"/>
      <c r="R9" s="21" t="str">
        <f>IF(PROFIL!$F$31="Stabilité","Tempo 4:2:0 Bench",IF(PROFIL!$F$31="Trajectoire","Triple Pause Bench","T-Shirt Pause Bench"))</f>
        <v>T-Shirt Pause Bench</v>
      </c>
      <c r="S9" s="15">
        <v>1</v>
      </c>
      <c r="T9" s="15">
        <v>2</v>
      </c>
      <c r="U9" s="15" t="str">
        <f>MROUND(PROFIL!$F$24*0.8,(PROFIL!$F$12))&amp;"kg"</f>
        <v>120kg</v>
      </c>
      <c r="V9" s="69"/>
    </row>
    <row r="10" spans="1:24" ht="15.75" customHeight="1">
      <c r="A10" s="85" t="s">
        <v>7</v>
      </c>
      <c r="B10" s="5"/>
      <c r="C10" s="74"/>
      <c r="D10" s="16" t="str">
        <f>IF(PROFIL!D8="Femme","4-5","4")</f>
        <v>4</v>
      </c>
      <c r="E10" s="15">
        <v>8</v>
      </c>
      <c r="F10" s="15" t="str">
        <f>MROUND((PROFIL!$F$24*0.725)*0.9,(PROFIL!$F$12))&amp;"kg"</f>
        <v>97,5kg</v>
      </c>
      <c r="G10" s="69"/>
      <c r="H10" s="35" t="s">
        <v>10</v>
      </c>
      <c r="I10" s="36" t="str">
        <f>IF(PROFIL!D8="Femme","5","4")</f>
        <v>4</v>
      </c>
      <c r="J10" s="36">
        <v>12</v>
      </c>
      <c r="K10" s="37" t="s">
        <v>71</v>
      </c>
      <c r="L10" s="69"/>
      <c r="M10" s="74"/>
      <c r="N10" s="16">
        <f>IF(PROFIL!G10&gt;94,3,4)</f>
        <v>4</v>
      </c>
      <c r="O10" s="15">
        <v>5</v>
      </c>
      <c r="P10" s="19" t="str">
        <f>MROUND((PROFIL!$F$24*0.825)*0.9,(PROFIL!$F$12))&amp;"kg"</f>
        <v>112,5kg</v>
      </c>
      <c r="Q10" s="18"/>
      <c r="R10" s="21" t="s">
        <v>69</v>
      </c>
      <c r="S10" s="15">
        <v>3</v>
      </c>
      <c r="T10" s="16">
        <f>IF(PROFIL!$D$8="Femme",7,6)</f>
        <v>6</v>
      </c>
      <c r="U10" s="15" t="str">
        <f>MROUND(PROFIL!$F$24*0.68,(PROFIL!$F$12))&amp;"kg"</f>
        <v>102,5kg</v>
      </c>
      <c r="V10" s="69"/>
    </row>
    <row r="11" spans="1:24">
      <c r="A11" s="85"/>
      <c r="B11" s="5"/>
      <c r="C11" s="38" t="s">
        <v>36</v>
      </c>
      <c r="D11" s="35">
        <v>1</v>
      </c>
      <c r="E11" s="35">
        <v>8</v>
      </c>
      <c r="F11" s="35" t="str">
        <f>MROUND(PROFIL!$F$36*0.725,(PROFIL!$F$12))&amp;"kg"</f>
        <v>220kg</v>
      </c>
      <c r="G11" s="69"/>
      <c r="H11" s="16" t="s">
        <v>11</v>
      </c>
      <c r="I11" s="16">
        <v>4</v>
      </c>
      <c r="J11" s="20" t="s">
        <v>12</v>
      </c>
      <c r="K11" s="16"/>
      <c r="L11" s="69"/>
      <c r="M11" s="38" t="s">
        <v>67</v>
      </c>
      <c r="N11" s="35" t="str">
        <f>IF(PROFIL!$D$8="Femme","4","3")</f>
        <v>3</v>
      </c>
      <c r="O11" s="45" t="s">
        <v>68</v>
      </c>
      <c r="P11" s="35" t="s">
        <v>9</v>
      </c>
      <c r="Q11" s="13"/>
      <c r="R11" s="38" t="s">
        <v>17</v>
      </c>
      <c r="S11" s="36">
        <v>4</v>
      </c>
      <c r="T11" s="36">
        <v>10</v>
      </c>
      <c r="U11" s="37" t="s">
        <v>9</v>
      </c>
      <c r="V11" s="69"/>
    </row>
    <row r="12" spans="1:24" ht="17.25" thickBot="1">
      <c r="A12" s="85"/>
      <c r="B12" s="22"/>
      <c r="C12" s="23" t="str">
        <f>PROFIL!$F$40</f>
        <v>SDT Deficit</v>
      </c>
      <c r="D12" s="24" t="s">
        <v>23</v>
      </c>
      <c r="E12" s="25">
        <v>4</v>
      </c>
      <c r="F12" s="25" t="s">
        <v>24</v>
      </c>
      <c r="G12" s="70"/>
      <c r="H12" s="31" t="s">
        <v>13</v>
      </c>
      <c r="I12" s="32">
        <v>4</v>
      </c>
      <c r="J12" s="33" t="s">
        <v>12</v>
      </c>
      <c r="K12" s="34"/>
      <c r="L12" s="70"/>
      <c r="M12" s="23" t="s">
        <v>20</v>
      </c>
      <c r="N12" s="25">
        <v>3</v>
      </c>
      <c r="O12" s="46" t="s">
        <v>12</v>
      </c>
      <c r="P12" s="47"/>
      <c r="Q12" s="1"/>
      <c r="R12" s="23" t="s">
        <v>18</v>
      </c>
      <c r="S12" s="25">
        <v>4</v>
      </c>
      <c r="T12" s="46" t="s">
        <v>19</v>
      </c>
      <c r="U12" s="48" t="s">
        <v>9</v>
      </c>
      <c r="V12" s="70"/>
    </row>
    <row r="13" spans="1:24" s="1" customFormat="1" ht="7.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R13" s="4"/>
      <c r="S13" s="4"/>
      <c r="T13" s="4"/>
      <c r="U13" s="4"/>
      <c r="V13" s="4"/>
      <c r="W13" s="4"/>
      <c r="X13" s="4"/>
    </row>
    <row r="14" spans="1:24" s="1" customFormat="1" ht="16.5" thickBo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R14" s="4"/>
      <c r="S14" s="4"/>
      <c r="T14" s="4"/>
      <c r="U14" s="4"/>
      <c r="V14" s="4"/>
      <c r="W14" s="4"/>
      <c r="X14" s="4"/>
    </row>
    <row r="15" spans="1:24" ht="25.5" customHeight="1">
      <c r="A15" s="4"/>
      <c r="B15" s="42"/>
      <c r="C15" s="71" t="s">
        <v>51</v>
      </c>
      <c r="D15" s="71"/>
      <c r="E15" s="71"/>
      <c r="F15" s="71"/>
      <c r="G15" s="68" t="s">
        <v>46</v>
      </c>
      <c r="H15" s="71" t="s">
        <v>55</v>
      </c>
      <c r="I15" s="71"/>
      <c r="J15" s="71"/>
      <c r="K15" s="71"/>
      <c r="L15" s="68" t="s">
        <v>46</v>
      </c>
      <c r="M15" s="71" t="s">
        <v>59</v>
      </c>
      <c r="N15" s="71"/>
      <c r="O15" s="71"/>
      <c r="P15" s="71"/>
      <c r="Q15" s="6"/>
      <c r="R15" s="71" t="s">
        <v>66</v>
      </c>
      <c r="S15" s="71"/>
      <c r="T15" s="71"/>
      <c r="U15" s="71"/>
      <c r="V15" s="68" t="s">
        <v>46</v>
      </c>
    </row>
    <row r="16" spans="1:24" ht="1.5" customHeight="1">
      <c r="A16" s="4"/>
      <c r="B16" s="5"/>
      <c r="C16" s="7"/>
      <c r="D16" s="8"/>
      <c r="E16" s="8"/>
      <c r="F16" s="8"/>
      <c r="G16" s="69"/>
      <c r="H16" s="9"/>
      <c r="I16" s="10"/>
      <c r="J16" s="10"/>
      <c r="K16" s="10"/>
      <c r="L16" s="69"/>
      <c r="M16" s="7"/>
      <c r="N16" s="8"/>
      <c r="O16" s="8"/>
      <c r="P16" s="8"/>
      <c r="Q16" s="6"/>
      <c r="R16" s="7"/>
      <c r="S16" s="8"/>
      <c r="T16" s="8"/>
      <c r="U16" s="8"/>
      <c r="V16" s="69"/>
    </row>
    <row r="17" spans="1:24" ht="18.75" customHeight="1">
      <c r="A17" s="4"/>
      <c r="B17" s="5"/>
      <c r="C17" s="2" t="s">
        <v>2</v>
      </c>
      <c r="D17" s="3" t="s">
        <v>3</v>
      </c>
      <c r="E17" s="3" t="s">
        <v>4</v>
      </c>
      <c r="F17" s="3" t="s">
        <v>5</v>
      </c>
      <c r="G17" s="69"/>
      <c r="H17" s="11" t="s">
        <v>2</v>
      </c>
      <c r="I17" s="12" t="s">
        <v>3</v>
      </c>
      <c r="J17" s="12" t="s">
        <v>4</v>
      </c>
      <c r="K17" s="12" t="s">
        <v>5</v>
      </c>
      <c r="L17" s="69"/>
      <c r="M17" s="11" t="s">
        <v>2</v>
      </c>
      <c r="N17" s="12" t="s">
        <v>3</v>
      </c>
      <c r="O17" s="12" t="s">
        <v>4</v>
      </c>
      <c r="P17" s="12" t="s">
        <v>5</v>
      </c>
      <c r="Q17" s="13"/>
      <c r="R17" s="11" t="s">
        <v>2</v>
      </c>
      <c r="S17" s="12" t="s">
        <v>3</v>
      </c>
      <c r="T17" s="12" t="s">
        <v>4</v>
      </c>
      <c r="U17" s="12" t="s">
        <v>5</v>
      </c>
      <c r="V17" s="69"/>
    </row>
    <row r="18" spans="1:24">
      <c r="A18" s="4"/>
      <c r="B18" s="5"/>
      <c r="C18" s="72" t="s">
        <v>0</v>
      </c>
      <c r="D18" s="36">
        <v>1</v>
      </c>
      <c r="E18" s="36">
        <v>7</v>
      </c>
      <c r="F18" s="36" t="str">
        <f>MROUND(PROFIL!$F$15*0.75,(PROFIL!$F$12))&amp;"kg"</f>
        <v>175kg</v>
      </c>
      <c r="G18" s="69"/>
      <c r="H18" s="35" t="str">
        <f>PROFIL!$F$19</f>
        <v>Squat Barre Haute</v>
      </c>
      <c r="I18" s="35" t="str">
        <f>IF(PROFIL!$D$8="Femme","4-5","3-4")</f>
        <v>3-4</v>
      </c>
      <c r="J18" s="36">
        <v>6</v>
      </c>
      <c r="K18" s="36" t="str">
        <f>MROUND(PROFIL!$F$15*0.65,(PROFIL!$F$12))&amp;"kg"</f>
        <v>150kg</v>
      </c>
      <c r="L18" s="69"/>
      <c r="M18" s="72" t="s">
        <v>0</v>
      </c>
      <c r="N18" s="36">
        <v>1</v>
      </c>
      <c r="O18" s="36">
        <v>3</v>
      </c>
      <c r="P18" s="40" t="str">
        <f>MROUND(PROFIL!$F$15*0.86,(PROFIL!$F$12))&amp;"kg"</f>
        <v>200kg</v>
      </c>
      <c r="Q18" s="13"/>
      <c r="R18" s="72" t="s">
        <v>36</v>
      </c>
      <c r="S18" s="35">
        <v>1</v>
      </c>
      <c r="T18" s="35">
        <v>3</v>
      </c>
      <c r="U18" s="35" t="str">
        <f>MROUND(PROFIL!$F$36*0.85,(PROFIL!$F$12))&amp;"kg"</f>
        <v>260kg</v>
      </c>
      <c r="V18" s="69"/>
    </row>
    <row r="19" spans="1:24" ht="15.75" customHeight="1">
      <c r="A19" s="4"/>
      <c r="B19" s="5"/>
      <c r="C19" s="72"/>
      <c r="D19" s="36">
        <v>3</v>
      </c>
      <c r="E19" s="36">
        <v>7</v>
      </c>
      <c r="F19" s="36" t="str">
        <f>MROUND((PROFIL!$F$15*0.75)*0.9,(PROFIL!$F$12))&amp;"kg"</f>
        <v>157,5kg</v>
      </c>
      <c r="G19" s="69"/>
      <c r="H19" s="73" t="str">
        <f>PROFIL!$F$28</f>
        <v>DC Serré</v>
      </c>
      <c r="I19" s="14" t="s">
        <v>8</v>
      </c>
      <c r="J19" s="15">
        <v>9</v>
      </c>
      <c r="K19" s="15" t="s">
        <v>9</v>
      </c>
      <c r="L19" s="69"/>
      <c r="M19" s="72"/>
      <c r="N19" s="36">
        <v>3</v>
      </c>
      <c r="O19" s="36">
        <v>4</v>
      </c>
      <c r="P19" s="40" t="str">
        <f>MROUND((PROFIL!$F$15*0.86)*0.875,(PROFIL!$F$12))&amp;"kg"</f>
        <v>175kg</v>
      </c>
      <c r="Q19" s="13"/>
      <c r="R19" s="72"/>
      <c r="S19" s="35">
        <f>IF(PROFIL!$G$10&gt;84,2,3)</f>
        <v>3</v>
      </c>
      <c r="T19" s="44" t="s">
        <v>15</v>
      </c>
      <c r="U19" s="35" t="str">
        <f>MROUND((PROFIL!$F$36*0.85)*0.85,(PROFIL!$F$12))&amp;"kg"</f>
        <v>220kg</v>
      </c>
      <c r="V19" s="69"/>
    </row>
    <row r="20" spans="1:24">
      <c r="A20" s="4"/>
      <c r="B20" s="5"/>
      <c r="C20" s="74" t="s">
        <v>6</v>
      </c>
      <c r="D20" s="15">
        <v>1</v>
      </c>
      <c r="E20" s="15">
        <v>7</v>
      </c>
      <c r="F20" s="15" t="str">
        <f>MROUND(PROFIL!$F$24*0.75,(PROFIL!$F$12))&amp;"kg"</f>
        <v>112,5kg</v>
      </c>
      <c r="G20" s="69"/>
      <c r="H20" s="73"/>
      <c r="I20" s="16" t="str">
        <f>IF(PROFIL!G10&gt;84,2,"2-3")</f>
        <v>2-3</v>
      </c>
      <c r="J20" s="16" t="str">
        <f>IF(PROFIL!D8="Femme","11","9")</f>
        <v>9</v>
      </c>
      <c r="K20" s="17">
        <v>-0.1</v>
      </c>
      <c r="L20" s="69"/>
      <c r="M20" s="74" t="s">
        <v>6</v>
      </c>
      <c r="N20" s="15">
        <v>1</v>
      </c>
      <c r="O20" s="15">
        <v>3</v>
      </c>
      <c r="P20" s="19" t="str">
        <f>MROUND(PROFIL!$F$24*0.86,(PROFIL!$F$12))&amp;"kg"</f>
        <v>130kg</v>
      </c>
      <c r="Q20" s="18"/>
      <c r="R20" s="21" t="str">
        <f>IF(PROFIL!$F$31="Stabilité","Tempo 4:2:0 Bench",IF(PROFIL!$F$31="Trajectoire","Triple Pause Bench","T-Shirt Pause Bench"))</f>
        <v>T-Shirt Pause Bench</v>
      </c>
      <c r="S20" s="15">
        <v>1</v>
      </c>
      <c r="T20" s="15">
        <v>2</v>
      </c>
      <c r="U20" s="15" t="str">
        <f>MROUND(PROFIL!$F$24*0.82,(PROFIL!$F$12))&amp;"kg"</f>
        <v>122,5kg</v>
      </c>
      <c r="V20" s="69"/>
    </row>
    <row r="21" spans="1:24" ht="15.75" customHeight="1">
      <c r="A21" s="85" t="s">
        <v>21</v>
      </c>
      <c r="B21" s="5"/>
      <c r="C21" s="74"/>
      <c r="D21" s="16" t="str">
        <f>IF(PROFIL!D8="Femme","4-5","4")</f>
        <v>4</v>
      </c>
      <c r="E21" s="15">
        <v>7</v>
      </c>
      <c r="F21" s="15" t="str">
        <f>MROUND((PROFIL!$F$24*0.75)*0.9,(PROFIL!$F$12))&amp;"kg"</f>
        <v>102,5kg</v>
      </c>
      <c r="G21" s="69"/>
      <c r="H21" s="35" t="s">
        <v>10</v>
      </c>
      <c r="I21" s="36" t="str">
        <f>IF(PROFIL!D19="Femme","5","4")</f>
        <v>4</v>
      </c>
      <c r="J21" s="36">
        <v>12</v>
      </c>
      <c r="K21" s="37" t="s">
        <v>71</v>
      </c>
      <c r="L21" s="69"/>
      <c r="M21" s="74"/>
      <c r="N21" s="16">
        <f>IF(PROFIL!G10&gt;94,3,4)</f>
        <v>4</v>
      </c>
      <c r="O21" s="15">
        <v>4</v>
      </c>
      <c r="P21" s="19" t="str">
        <f>MROUND((PROFIL!$F$24*0.86)*0.9,(PROFIL!$F$12))&amp;"kg"</f>
        <v>115kg</v>
      </c>
      <c r="Q21" s="18"/>
      <c r="R21" s="21" t="s">
        <v>69</v>
      </c>
      <c r="S21" s="15">
        <v>3</v>
      </c>
      <c r="T21" s="16">
        <f>IF(PROFIL!$D$8="Femme",7,6)</f>
        <v>6</v>
      </c>
      <c r="U21" s="15" t="str">
        <f>MROUND(PROFIL!$F$24*0.7,(PROFIL!$F$12))&amp;"kg"</f>
        <v>105kg</v>
      </c>
      <c r="V21" s="69"/>
    </row>
    <row r="22" spans="1:24">
      <c r="A22" s="85"/>
      <c r="B22" s="5"/>
      <c r="C22" s="38" t="s">
        <v>36</v>
      </c>
      <c r="D22" s="35">
        <v>1</v>
      </c>
      <c r="E22" s="35">
        <v>7</v>
      </c>
      <c r="F22" s="35" t="str">
        <f>MROUND(PROFIL!$F$36*0.75,(PROFIL!$F$12))&amp;"kg"</f>
        <v>230kg</v>
      </c>
      <c r="G22" s="69"/>
      <c r="H22" s="21" t="s">
        <v>11</v>
      </c>
      <c r="I22" s="16">
        <v>4</v>
      </c>
      <c r="J22" s="20" t="s">
        <v>12</v>
      </c>
      <c r="K22" s="16"/>
      <c r="L22" s="69"/>
      <c r="M22" s="38" t="s">
        <v>67</v>
      </c>
      <c r="N22" s="35" t="str">
        <f>IF(PROFIL!$D$8="Femme","4","3")</f>
        <v>3</v>
      </c>
      <c r="O22" s="45" t="s">
        <v>68</v>
      </c>
      <c r="P22" s="35" t="s">
        <v>70</v>
      </c>
      <c r="Q22" s="13"/>
      <c r="R22" s="38" t="s">
        <v>17</v>
      </c>
      <c r="S22" s="36">
        <v>4</v>
      </c>
      <c r="T22" s="36">
        <v>10</v>
      </c>
      <c r="U22" s="37" t="s">
        <v>70</v>
      </c>
      <c r="V22" s="69"/>
    </row>
    <row r="23" spans="1:24" ht="16.5" thickBot="1">
      <c r="A23" s="85"/>
      <c r="B23" s="22"/>
      <c r="C23" s="23" t="str">
        <f>PROFIL!$F$40</f>
        <v>SDT Deficit</v>
      </c>
      <c r="D23" s="24" t="s">
        <v>23</v>
      </c>
      <c r="E23" s="25">
        <v>3</v>
      </c>
      <c r="F23" s="25" t="s">
        <v>25</v>
      </c>
      <c r="G23" s="70"/>
      <c r="H23" s="39" t="s">
        <v>13</v>
      </c>
      <c r="I23" s="32">
        <v>4</v>
      </c>
      <c r="J23" s="33" t="s">
        <v>12</v>
      </c>
      <c r="K23" s="32"/>
      <c r="L23" s="70"/>
      <c r="M23" s="23" t="s">
        <v>20</v>
      </c>
      <c r="N23" s="25">
        <v>3</v>
      </c>
      <c r="O23" s="46" t="s">
        <v>12</v>
      </c>
      <c r="P23" s="47"/>
      <c r="Q23" s="26"/>
      <c r="R23" s="23" t="s">
        <v>18</v>
      </c>
      <c r="S23" s="25">
        <v>4</v>
      </c>
      <c r="T23" s="46" t="s">
        <v>19</v>
      </c>
      <c r="U23" s="48" t="s">
        <v>70</v>
      </c>
      <c r="V23" s="70"/>
    </row>
    <row r="24" spans="1:24" s="1" customFormat="1" ht="7.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s="1" customFormat="1" ht="16.5" thickBo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25.5" customHeight="1">
      <c r="A26" s="4"/>
      <c r="B26" s="42"/>
      <c r="C26" s="71" t="s">
        <v>50</v>
      </c>
      <c r="D26" s="71"/>
      <c r="E26" s="71"/>
      <c r="F26" s="71"/>
      <c r="G26" s="68" t="s">
        <v>46</v>
      </c>
      <c r="H26" s="71" t="s">
        <v>56</v>
      </c>
      <c r="I26" s="71"/>
      <c r="J26" s="71"/>
      <c r="K26" s="71"/>
      <c r="L26" s="68" t="s">
        <v>46</v>
      </c>
      <c r="M26" s="71" t="s">
        <v>60</v>
      </c>
      <c r="N26" s="71"/>
      <c r="O26" s="71"/>
      <c r="P26" s="71"/>
      <c r="Q26" s="6"/>
      <c r="R26" s="71" t="s">
        <v>65</v>
      </c>
      <c r="S26" s="71"/>
      <c r="T26" s="71"/>
      <c r="U26" s="71"/>
      <c r="V26" s="68" t="s">
        <v>46</v>
      </c>
    </row>
    <row r="27" spans="1:24" ht="1.5" customHeight="1">
      <c r="A27" s="4"/>
      <c r="B27" s="5"/>
      <c r="C27" s="7"/>
      <c r="D27" s="8"/>
      <c r="E27" s="8"/>
      <c r="F27" s="8"/>
      <c r="G27" s="69"/>
      <c r="H27" s="9"/>
      <c r="I27" s="10"/>
      <c r="J27" s="10"/>
      <c r="K27" s="10"/>
      <c r="L27" s="69"/>
      <c r="M27" s="7"/>
      <c r="N27" s="8"/>
      <c r="O27" s="8"/>
      <c r="P27" s="8"/>
      <c r="Q27" s="6"/>
      <c r="R27" s="7"/>
      <c r="S27" s="8"/>
      <c r="T27" s="8"/>
      <c r="U27" s="8"/>
      <c r="V27" s="69"/>
    </row>
    <row r="28" spans="1:24" ht="18.75" customHeight="1">
      <c r="A28" s="4"/>
      <c r="B28" s="5"/>
      <c r="C28" s="2" t="s">
        <v>2</v>
      </c>
      <c r="D28" s="3" t="s">
        <v>3</v>
      </c>
      <c r="E28" s="3" t="s">
        <v>4</v>
      </c>
      <c r="F28" s="3" t="s">
        <v>5</v>
      </c>
      <c r="G28" s="69"/>
      <c r="H28" s="11" t="s">
        <v>2</v>
      </c>
      <c r="I28" s="12" t="s">
        <v>3</v>
      </c>
      <c r="J28" s="12" t="s">
        <v>4</v>
      </c>
      <c r="K28" s="12" t="s">
        <v>5</v>
      </c>
      <c r="L28" s="69"/>
      <c r="M28" s="11" t="s">
        <v>2</v>
      </c>
      <c r="N28" s="12" t="s">
        <v>3</v>
      </c>
      <c r="O28" s="12" t="s">
        <v>4</v>
      </c>
      <c r="P28" s="12" t="s">
        <v>5</v>
      </c>
      <c r="Q28" s="13"/>
      <c r="R28" s="11" t="s">
        <v>2</v>
      </c>
      <c r="S28" s="12" t="s">
        <v>3</v>
      </c>
      <c r="T28" s="12" t="s">
        <v>4</v>
      </c>
      <c r="U28" s="12" t="s">
        <v>5</v>
      </c>
      <c r="V28" s="69"/>
    </row>
    <row r="29" spans="1:24">
      <c r="A29" s="4"/>
      <c r="B29" s="5"/>
      <c r="C29" s="72" t="s">
        <v>0</v>
      </c>
      <c r="D29" s="36">
        <v>1</v>
      </c>
      <c r="E29" s="36">
        <v>6</v>
      </c>
      <c r="F29" s="36" t="str">
        <f>MROUND(PROFIL!$F$15*0.775,(PROFIL!$F$12))&amp;"kg"</f>
        <v>180kg</v>
      </c>
      <c r="G29" s="69"/>
      <c r="H29" s="35" t="str">
        <f>PROFIL!$F$19</f>
        <v>Squat Barre Haute</v>
      </c>
      <c r="I29" s="35" t="str">
        <f>IF(PROFIL!$D$8="Femme","4","3")</f>
        <v>3</v>
      </c>
      <c r="J29" s="36">
        <v>5</v>
      </c>
      <c r="K29" s="36" t="str">
        <f>MROUND(PROFIL!$F$15*0.675,(PROFIL!$F$12))&amp;"kg"</f>
        <v>157,5kg</v>
      </c>
      <c r="L29" s="69"/>
      <c r="M29" s="72" t="s">
        <v>0</v>
      </c>
      <c r="N29" s="36">
        <v>1</v>
      </c>
      <c r="O29" s="36">
        <v>2</v>
      </c>
      <c r="P29" s="40" t="str">
        <f>MROUND(PROFIL!$F$15*0.89,(PROFIL!$F$12))&amp;"kg"</f>
        <v>207,5kg</v>
      </c>
      <c r="Q29" s="13"/>
      <c r="R29" s="72" t="s">
        <v>36</v>
      </c>
      <c r="S29" s="35">
        <v>1</v>
      </c>
      <c r="T29" s="35">
        <v>2</v>
      </c>
      <c r="U29" s="35" t="str">
        <f>MROUND(PROFIL!$F$36*0.875,(PROFIL!$F$12))&amp;"kg"</f>
        <v>267,5kg</v>
      </c>
      <c r="V29" s="69"/>
    </row>
    <row r="30" spans="1:24" ht="15.75" customHeight="1">
      <c r="A30" s="4"/>
      <c r="B30" s="5"/>
      <c r="C30" s="72"/>
      <c r="D30" s="36">
        <v>3</v>
      </c>
      <c r="E30" s="36">
        <v>6</v>
      </c>
      <c r="F30" s="36" t="str">
        <f>MROUND((PROFIL!$F$15*0.775)*0.9,(PROFIL!$F$12))&amp;"kg"</f>
        <v>162,5kg</v>
      </c>
      <c r="G30" s="69"/>
      <c r="H30" s="73" t="str">
        <f>PROFIL!$F$28</f>
        <v>DC Serré</v>
      </c>
      <c r="I30" s="14" t="s">
        <v>8</v>
      </c>
      <c r="J30" s="15">
        <v>8</v>
      </c>
      <c r="K30" s="15" t="s">
        <v>9</v>
      </c>
      <c r="L30" s="69"/>
      <c r="M30" s="72"/>
      <c r="N30" s="36">
        <v>3</v>
      </c>
      <c r="O30" s="36">
        <v>3</v>
      </c>
      <c r="P30" s="40" t="str">
        <f>MROUND((PROFIL!$F$15*0.89)*0.875,(PROFIL!$F$12))&amp;"kg"</f>
        <v>180kg</v>
      </c>
      <c r="Q30" s="13"/>
      <c r="R30" s="72"/>
      <c r="S30" s="35">
        <f>IF(PROFIL!$G$10&gt;84,2,3)</f>
        <v>3</v>
      </c>
      <c r="T30" s="44" t="s">
        <v>14</v>
      </c>
      <c r="U30" s="35" t="str">
        <f>MROUND((PROFIL!$F$36*0.875)*0.85,(PROFIL!$F$12))&amp;"kg"</f>
        <v>227,5kg</v>
      </c>
      <c r="V30" s="69"/>
    </row>
    <row r="31" spans="1:24">
      <c r="A31" s="4"/>
      <c r="B31" s="5"/>
      <c r="C31" s="74" t="s">
        <v>6</v>
      </c>
      <c r="D31" s="15">
        <v>1</v>
      </c>
      <c r="E31" s="15">
        <v>6</v>
      </c>
      <c r="F31" s="15" t="str">
        <f>MROUND(PROFIL!$F$24*0.775,(PROFIL!$F$12))&amp;"kg"</f>
        <v>117,5kg</v>
      </c>
      <c r="G31" s="69"/>
      <c r="H31" s="73"/>
      <c r="I31" s="16" t="str">
        <f>IF(PROFIL!G10&gt;84,2,"2-3")</f>
        <v>2-3</v>
      </c>
      <c r="J31" s="16" t="str">
        <f>IF(PROFIL!D8="Femme","10","8")</f>
        <v>8</v>
      </c>
      <c r="K31" s="17">
        <v>-0.1</v>
      </c>
      <c r="L31" s="69"/>
      <c r="M31" s="74" t="s">
        <v>6</v>
      </c>
      <c r="N31" s="15">
        <v>1</v>
      </c>
      <c r="O31" s="15">
        <v>2</v>
      </c>
      <c r="P31" s="19" t="str">
        <f>MROUND(PROFIL!$F$24*0.89,(PROFIL!$F$12))&amp;"kg"</f>
        <v>132,5kg</v>
      </c>
      <c r="Q31" s="18"/>
      <c r="R31" s="21" t="str">
        <f>IF(PROFIL!$F$31="Stabilité","Tempo 4:2:0 Bench",IF(PROFIL!$F$31="Trajectoire","Triple Pause Bench","T-Shirt Pause Bench"))</f>
        <v>T-Shirt Pause Bench</v>
      </c>
      <c r="S31" s="15">
        <v>1</v>
      </c>
      <c r="T31" s="15">
        <v>1</v>
      </c>
      <c r="U31" s="15" t="str">
        <f>MROUND(PROFIL!$F$24*0.84,(PROFIL!$F$12))&amp;"kg"</f>
        <v>125kg</v>
      </c>
      <c r="V31" s="69"/>
    </row>
    <row r="32" spans="1:24" ht="15.75" customHeight="1">
      <c r="A32" s="85" t="s">
        <v>22</v>
      </c>
      <c r="B32" s="5"/>
      <c r="C32" s="74"/>
      <c r="D32" s="16" t="str">
        <f>IF(PROFIL!D8="Femme","4-5","4")</f>
        <v>4</v>
      </c>
      <c r="E32" s="15">
        <v>6</v>
      </c>
      <c r="F32" s="15" t="str">
        <f>MROUND((PROFIL!$F$24*0.775)*0.9,(PROFIL!$F$12))&amp;"kg"</f>
        <v>105kg</v>
      </c>
      <c r="G32" s="69"/>
      <c r="H32" s="35" t="s">
        <v>10</v>
      </c>
      <c r="I32" s="36" t="str">
        <f>IF(PROFIL!D30="Femme","5","4")</f>
        <v>4</v>
      </c>
      <c r="J32" s="36">
        <v>12</v>
      </c>
      <c r="K32" s="37" t="s">
        <v>71</v>
      </c>
      <c r="L32" s="69"/>
      <c r="M32" s="74"/>
      <c r="N32" s="16">
        <f>IF(PROFIL!G10&gt;94,3,4)</f>
        <v>4</v>
      </c>
      <c r="O32" s="15">
        <v>3</v>
      </c>
      <c r="P32" s="19" t="str">
        <f>MROUND((PROFIL!$F$24*0.89)*0.9,(PROFIL!$F$12))&amp;"kg"</f>
        <v>120kg</v>
      </c>
      <c r="Q32" s="18"/>
      <c r="R32" s="21" t="s">
        <v>69</v>
      </c>
      <c r="S32" s="15">
        <v>3</v>
      </c>
      <c r="T32" s="16">
        <f>IF(PROFIL!$D$8="Femme",6,5)</f>
        <v>5</v>
      </c>
      <c r="U32" s="15" t="str">
        <f>MROUND(PROFIL!$F$24*0.72,(PROFIL!$F$12))&amp;"kg"</f>
        <v>107,5kg</v>
      </c>
      <c r="V32" s="69"/>
    </row>
    <row r="33" spans="1:24">
      <c r="A33" s="85"/>
      <c r="B33" s="5"/>
      <c r="C33" s="38" t="s">
        <v>36</v>
      </c>
      <c r="D33" s="35">
        <v>1</v>
      </c>
      <c r="E33" s="35">
        <v>6</v>
      </c>
      <c r="F33" s="35" t="str">
        <f>MROUND(PROFIL!$F$36*0.775,(PROFIL!$F$12))&amp;"kg"</f>
        <v>237,5kg</v>
      </c>
      <c r="G33" s="69"/>
      <c r="H33" s="21" t="s">
        <v>11</v>
      </c>
      <c r="I33" s="16">
        <v>4</v>
      </c>
      <c r="J33" s="20" t="s">
        <v>12</v>
      </c>
      <c r="K33" s="16"/>
      <c r="L33" s="69"/>
      <c r="M33" s="38" t="s">
        <v>67</v>
      </c>
      <c r="N33" s="35" t="str">
        <f>IF(PROFIL!$D$8="Femme","4","3")</f>
        <v>3</v>
      </c>
      <c r="O33" s="45" t="s">
        <v>68</v>
      </c>
      <c r="P33" s="35" t="s">
        <v>71</v>
      </c>
      <c r="Q33" s="13"/>
      <c r="R33" s="38" t="s">
        <v>17</v>
      </c>
      <c r="S33" s="36">
        <v>4</v>
      </c>
      <c r="T33" s="36">
        <v>10</v>
      </c>
      <c r="U33" s="37" t="s">
        <v>70</v>
      </c>
      <c r="V33" s="69"/>
    </row>
    <row r="34" spans="1:24" ht="16.5" thickBot="1">
      <c r="A34" s="85"/>
      <c r="B34" s="22"/>
      <c r="C34" s="23" t="str">
        <f>PROFIL!$F$40</f>
        <v>SDT Deficit</v>
      </c>
      <c r="D34" s="24" t="s">
        <v>23</v>
      </c>
      <c r="E34" s="25">
        <v>3</v>
      </c>
      <c r="F34" s="25" t="s">
        <v>26</v>
      </c>
      <c r="G34" s="70"/>
      <c r="H34" s="39" t="s">
        <v>13</v>
      </c>
      <c r="I34" s="32">
        <v>3</v>
      </c>
      <c r="J34" s="33" t="s">
        <v>12</v>
      </c>
      <c r="K34" s="32"/>
      <c r="L34" s="70"/>
      <c r="M34" s="23" t="s">
        <v>20</v>
      </c>
      <c r="N34" s="25">
        <v>3</v>
      </c>
      <c r="O34" s="46" t="s">
        <v>12</v>
      </c>
      <c r="P34" s="47"/>
      <c r="Q34" s="26"/>
      <c r="R34" s="23" t="s">
        <v>18</v>
      </c>
      <c r="S34" s="25">
        <v>4</v>
      </c>
      <c r="T34" s="46" t="s">
        <v>19</v>
      </c>
      <c r="U34" s="48" t="s">
        <v>70</v>
      </c>
      <c r="V34" s="70"/>
    </row>
    <row r="35" spans="1:24" s="1" customFormat="1" ht="7.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s="1" customFormat="1" ht="16.5" thickBo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25.5" customHeight="1">
      <c r="A37" s="4"/>
      <c r="B37" s="42"/>
      <c r="C37" s="71" t="s">
        <v>49</v>
      </c>
      <c r="D37" s="71"/>
      <c r="E37" s="71"/>
      <c r="F37" s="71"/>
      <c r="G37" s="68" t="s">
        <v>46</v>
      </c>
      <c r="H37" s="71" t="s">
        <v>57</v>
      </c>
      <c r="I37" s="71"/>
      <c r="J37" s="71"/>
      <c r="K37" s="71"/>
      <c r="L37" s="68" t="s">
        <v>46</v>
      </c>
      <c r="M37" s="71" t="s">
        <v>61</v>
      </c>
      <c r="N37" s="71"/>
      <c r="O37" s="71"/>
      <c r="P37" s="71"/>
      <c r="Q37" s="6"/>
      <c r="R37" s="71" t="s">
        <v>64</v>
      </c>
      <c r="S37" s="71"/>
      <c r="T37" s="71"/>
      <c r="U37" s="71"/>
      <c r="V37" s="68" t="s">
        <v>46</v>
      </c>
    </row>
    <row r="38" spans="1:24" ht="1.5" customHeight="1">
      <c r="A38" s="4"/>
      <c r="B38" s="5"/>
      <c r="C38" s="7"/>
      <c r="D38" s="8"/>
      <c r="E38" s="8"/>
      <c r="F38" s="8"/>
      <c r="G38" s="69"/>
      <c r="H38" s="9"/>
      <c r="I38" s="10"/>
      <c r="J38" s="10"/>
      <c r="K38" s="10"/>
      <c r="L38" s="69"/>
      <c r="M38" s="7"/>
      <c r="N38" s="8"/>
      <c r="O38" s="8"/>
      <c r="P38" s="8"/>
      <c r="Q38" s="6"/>
      <c r="R38" s="7"/>
      <c r="S38" s="8"/>
      <c r="T38" s="8"/>
      <c r="U38" s="8"/>
      <c r="V38" s="69"/>
    </row>
    <row r="39" spans="1:24" ht="18.75" customHeight="1">
      <c r="A39" s="4"/>
      <c r="B39" s="5"/>
      <c r="C39" s="2" t="s">
        <v>2</v>
      </c>
      <c r="D39" s="3" t="s">
        <v>3</v>
      </c>
      <c r="E39" s="3" t="s">
        <v>4</v>
      </c>
      <c r="F39" s="3" t="s">
        <v>5</v>
      </c>
      <c r="G39" s="69"/>
      <c r="H39" s="11" t="s">
        <v>2</v>
      </c>
      <c r="I39" s="12" t="s">
        <v>3</v>
      </c>
      <c r="J39" s="12" t="s">
        <v>4</v>
      </c>
      <c r="K39" s="12" t="s">
        <v>5</v>
      </c>
      <c r="L39" s="69"/>
      <c r="M39" s="11" t="s">
        <v>2</v>
      </c>
      <c r="N39" s="12" t="s">
        <v>3</v>
      </c>
      <c r="O39" s="12" t="s">
        <v>4</v>
      </c>
      <c r="P39" s="12" t="s">
        <v>5</v>
      </c>
      <c r="Q39" s="13"/>
      <c r="R39" s="11" t="s">
        <v>2</v>
      </c>
      <c r="S39" s="12" t="s">
        <v>3</v>
      </c>
      <c r="T39" s="12" t="s">
        <v>4</v>
      </c>
      <c r="U39" s="12" t="s">
        <v>5</v>
      </c>
      <c r="V39" s="69"/>
    </row>
    <row r="40" spans="1:24">
      <c r="A40" s="4"/>
      <c r="B40" s="5"/>
      <c r="C40" s="72" t="s">
        <v>0</v>
      </c>
      <c r="D40" s="36">
        <v>1</v>
      </c>
      <c r="E40" s="36">
        <v>5</v>
      </c>
      <c r="F40" s="36" t="str">
        <f>MROUND(PROFIL!$F$15*0.8,(PROFIL!$F$12))&amp;"kg"</f>
        <v>185kg</v>
      </c>
      <c r="G40" s="69"/>
      <c r="H40" s="35" t="str">
        <f>PROFIL!$F$19</f>
        <v>Squat Barre Haute</v>
      </c>
      <c r="I40" s="35" t="str">
        <f>IF(PROFIL!$D$8="Femme","3-4","2-3")</f>
        <v>2-3</v>
      </c>
      <c r="J40" s="36">
        <v>4</v>
      </c>
      <c r="K40" s="36" t="str">
        <f>MROUND(PROFIL!$F$15*0.7,(PROFIL!$F$12))&amp;"kg"</f>
        <v>162,5kg</v>
      </c>
      <c r="L40" s="69"/>
      <c r="M40" s="72" t="s">
        <v>0</v>
      </c>
      <c r="N40" s="36">
        <v>1</v>
      </c>
      <c r="O40" s="36">
        <v>1</v>
      </c>
      <c r="P40" s="40" t="str">
        <f>MROUND(PROFIL!$F$15*0.92,(PROFIL!$F$12))&amp;"kg"</f>
        <v>215kg</v>
      </c>
      <c r="Q40" s="13"/>
      <c r="R40" s="72" t="s">
        <v>36</v>
      </c>
      <c r="S40" s="35">
        <v>1</v>
      </c>
      <c r="T40" s="35">
        <v>1</v>
      </c>
      <c r="U40" s="35" t="str">
        <f>MROUND(PROFIL!$F$36*0.9,(PROFIL!$F$12))&amp;"kg"</f>
        <v>275kg</v>
      </c>
      <c r="V40" s="69"/>
    </row>
    <row r="41" spans="1:24" ht="15.75" customHeight="1">
      <c r="A41" s="4"/>
      <c r="B41" s="5"/>
      <c r="C41" s="72"/>
      <c r="D41" s="36">
        <v>3</v>
      </c>
      <c r="E41" s="36">
        <v>5</v>
      </c>
      <c r="F41" s="36" t="str">
        <f>MROUND((PROFIL!$F$15*0.8)*0.9,(PROFIL!$F$12))&amp;"kg"</f>
        <v>167,5kg</v>
      </c>
      <c r="G41" s="69"/>
      <c r="H41" s="73" t="str">
        <f>PROFIL!$F$28</f>
        <v>DC Serré</v>
      </c>
      <c r="I41" s="14" t="s">
        <v>8</v>
      </c>
      <c r="J41" s="15">
        <v>7</v>
      </c>
      <c r="K41" s="15" t="s">
        <v>9</v>
      </c>
      <c r="L41" s="69"/>
      <c r="M41" s="72"/>
      <c r="N41" s="36">
        <v>3</v>
      </c>
      <c r="O41" s="36">
        <v>2</v>
      </c>
      <c r="P41" s="40" t="str">
        <f>MROUND((PROFIL!$F$15*0.92)*0.875,(PROFIL!$F$12))&amp;"kg"</f>
        <v>187,5kg</v>
      </c>
      <c r="Q41" s="13"/>
      <c r="R41" s="72"/>
      <c r="S41" s="35">
        <f>IF(PROFIL!$G$10&gt;84,2,3)</f>
        <v>3</v>
      </c>
      <c r="T41" s="44" t="s">
        <v>16</v>
      </c>
      <c r="U41" s="35" t="str">
        <f>MROUND((PROFIL!$F$36*0.9)*0.85,(PROFIL!$F$12))&amp;"kg"</f>
        <v>232,5kg</v>
      </c>
      <c r="V41" s="69"/>
    </row>
    <row r="42" spans="1:24">
      <c r="A42" s="4"/>
      <c r="B42" s="5"/>
      <c r="C42" s="74" t="s">
        <v>6</v>
      </c>
      <c r="D42" s="15">
        <v>1</v>
      </c>
      <c r="E42" s="15">
        <v>5</v>
      </c>
      <c r="F42" s="15" t="str">
        <f>MROUND(PROFIL!$F$24*0.8,(PROFIL!$F$12))&amp;"kg"</f>
        <v>120kg</v>
      </c>
      <c r="G42" s="69"/>
      <c r="H42" s="73"/>
      <c r="I42" s="16">
        <f>IF(PROFIL!G10&gt;84,1,2)</f>
        <v>2</v>
      </c>
      <c r="J42" s="16" t="str">
        <f>IF(PROFIL!D8="Femme","9","7")</f>
        <v>7</v>
      </c>
      <c r="K42" s="17">
        <v>-0.1</v>
      </c>
      <c r="L42" s="69"/>
      <c r="M42" s="74" t="s">
        <v>6</v>
      </c>
      <c r="N42" s="15">
        <v>1</v>
      </c>
      <c r="O42" s="15">
        <v>1</v>
      </c>
      <c r="P42" s="19" t="str">
        <f>MROUND(PROFIL!$F$24*0.92,(PROFIL!$F$12))&amp;"kg"</f>
        <v>137,5kg</v>
      </c>
      <c r="Q42" s="18"/>
      <c r="R42" s="21" t="str">
        <f>IF(PROFIL!$F$31="Stabilité","Tempo 4:2:0 Bench",IF(PROFIL!$F$31="Trajectoire","Triple Pause Bench","T-Shirt Pause Bench"))</f>
        <v>T-Shirt Pause Bench</v>
      </c>
      <c r="S42" s="15">
        <v>1</v>
      </c>
      <c r="T42" s="15">
        <v>1</v>
      </c>
      <c r="U42" s="15" t="str">
        <f>MROUND(PROFIL!$F$24*0.86,(PROFIL!$F$12))&amp;"kg"</f>
        <v>130kg</v>
      </c>
      <c r="V42" s="69"/>
    </row>
    <row r="43" spans="1:24" ht="15.75" customHeight="1">
      <c r="A43" s="85" t="s">
        <v>27</v>
      </c>
      <c r="B43" s="5"/>
      <c r="C43" s="74"/>
      <c r="D43" s="16" t="str">
        <f>IF(PROFIL!D8="Femme","4-5","4")</f>
        <v>4</v>
      </c>
      <c r="E43" s="15">
        <v>5</v>
      </c>
      <c r="F43" s="15" t="str">
        <f>MROUND((PROFIL!$F$24*0.8)*0.9,(PROFIL!$F$12))&amp;"kg"</f>
        <v>107,5kg</v>
      </c>
      <c r="G43" s="69"/>
      <c r="H43" s="35" t="s">
        <v>10</v>
      </c>
      <c r="I43" s="36" t="str">
        <f>IF(PROFIL!D41="Femme","5","4")</f>
        <v>4</v>
      </c>
      <c r="J43" s="36">
        <v>12</v>
      </c>
      <c r="K43" s="37" t="s">
        <v>71</v>
      </c>
      <c r="L43" s="69"/>
      <c r="M43" s="74"/>
      <c r="N43" s="16">
        <f>IF(PROFIL!G10&gt;94,3,4)</f>
        <v>4</v>
      </c>
      <c r="O43" s="15">
        <v>2</v>
      </c>
      <c r="P43" s="19" t="str">
        <f>MROUND((PROFIL!$F$24*0.92)*0.9,(PROFIL!$F$12))&amp;"kg"</f>
        <v>125kg</v>
      </c>
      <c r="Q43" s="18"/>
      <c r="R43" s="21" t="s">
        <v>69</v>
      </c>
      <c r="S43" s="15">
        <v>3</v>
      </c>
      <c r="T43" s="16">
        <f>IF(PROFIL!$D$8="Femme",6,5)</f>
        <v>5</v>
      </c>
      <c r="U43" s="15" t="str">
        <f>MROUND(PROFIL!$F$24*0.74,(PROFIL!$F$12))&amp;"kg"</f>
        <v>110kg</v>
      </c>
      <c r="V43" s="69"/>
    </row>
    <row r="44" spans="1:24">
      <c r="A44" s="85"/>
      <c r="B44" s="5"/>
      <c r="C44" s="38" t="s">
        <v>36</v>
      </c>
      <c r="D44" s="35">
        <v>1</v>
      </c>
      <c r="E44" s="35">
        <v>5</v>
      </c>
      <c r="F44" s="35" t="str">
        <f>MROUND(PROFIL!$F$36*0.8,(PROFIL!$F$12))&amp;"kg"</f>
        <v>245kg</v>
      </c>
      <c r="G44" s="69"/>
      <c r="H44" s="21" t="s">
        <v>11</v>
      </c>
      <c r="I44" s="16">
        <v>3</v>
      </c>
      <c r="J44" s="20" t="s">
        <v>12</v>
      </c>
      <c r="K44" s="16"/>
      <c r="L44" s="69"/>
      <c r="M44" s="38" t="s">
        <v>67</v>
      </c>
      <c r="N44" s="35" t="str">
        <f>IF(PROFIL!$D$8="Femme","4","3")</f>
        <v>3</v>
      </c>
      <c r="O44" s="45" t="s">
        <v>68</v>
      </c>
      <c r="P44" s="35" t="s">
        <v>72</v>
      </c>
      <c r="Q44" s="13"/>
      <c r="R44" s="38" t="s">
        <v>17</v>
      </c>
      <c r="S44" s="36">
        <v>4</v>
      </c>
      <c r="T44" s="36">
        <v>10</v>
      </c>
      <c r="U44" s="37" t="s">
        <v>71</v>
      </c>
      <c r="V44" s="69"/>
    </row>
    <row r="45" spans="1:24" ht="16.5" thickBot="1">
      <c r="A45" s="85"/>
      <c r="B45" s="22"/>
      <c r="C45" s="23" t="str">
        <f>PROFIL!$F$40</f>
        <v>SDT Deficit</v>
      </c>
      <c r="D45" s="24" t="s">
        <v>23</v>
      </c>
      <c r="E45" s="25">
        <v>2</v>
      </c>
      <c r="F45" s="25" t="s">
        <v>29</v>
      </c>
      <c r="G45" s="70"/>
      <c r="H45" s="39" t="s">
        <v>13</v>
      </c>
      <c r="I45" s="32">
        <v>3</v>
      </c>
      <c r="J45" s="33" t="s">
        <v>12</v>
      </c>
      <c r="K45" s="32"/>
      <c r="L45" s="70"/>
      <c r="M45" s="23" t="s">
        <v>20</v>
      </c>
      <c r="N45" s="25">
        <v>3</v>
      </c>
      <c r="O45" s="46" t="s">
        <v>12</v>
      </c>
      <c r="P45" s="47"/>
      <c r="Q45" s="26"/>
      <c r="R45" s="23" t="s">
        <v>18</v>
      </c>
      <c r="S45" s="25">
        <v>4</v>
      </c>
      <c r="T45" s="46" t="s">
        <v>19</v>
      </c>
      <c r="U45" s="48" t="s">
        <v>71</v>
      </c>
      <c r="V45" s="70"/>
    </row>
    <row r="46" spans="1:24" s="1" customFormat="1" ht="7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s="1" customFormat="1" ht="16.5" thickBo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25.5" customHeight="1">
      <c r="A48" s="4"/>
      <c r="B48" s="42"/>
      <c r="C48" s="71" t="s">
        <v>48</v>
      </c>
      <c r="D48" s="71"/>
      <c r="E48" s="71"/>
      <c r="F48" s="71"/>
      <c r="G48" s="68" t="s">
        <v>46</v>
      </c>
      <c r="H48" s="71" t="s">
        <v>58</v>
      </c>
      <c r="I48" s="71"/>
      <c r="J48" s="71"/>
      <c r="K48" s="71"/>
      <c r="L48" s="68" t="s">
        <v>46</v>
      </c>
      <c r="M48" s="71" t="s">
        <v>62</v>
      </c>
      <c r="N48" s="71"/>
      <c r="O48" s="71"/>
      <c r="P48" s="71"/>
      <c r="Q48" s="6"/>
      <c r="R48" s="71" t="s">
        <v>63</v>
      </c>
      <c r="S48" s="71"/>
      <c r="T48" s="71"/>
      <c r="U48" s="71"/>
      <c r="V48" s="68" t="s">
        <v>46</v>
      </c>
    </row>
    <row r="49" spans="1:24" ht="1.5" customHeight="1">
      <c r="A49" s="4"/>
      <c r="B49" s="5"/>
      <c r="C49" s="7"/>
      <c r="D49" s="8"/>
      <c r="E49" s="8"/>
      <c r="F49" s="8"/>
      <c r="G49" s="69"/>
      <c r="H49" s="9"/>
      <c r="I49" s="10"/>
      <c r="J49" s="10"/>
      <c r="K49" s="10"/>
      <c r="L49" s="69"/>
      <c r="M49" s="7"/>
      <c r="N49" s="8"/>
      <c r="O49" s="8"/>
      <c r="P49" s="8"/>
      <c r="Q49" s="6"/>
      <c r="R49" s="7"/>
      <c r="S49" s="8"/>
      <c r="T49" s="8"/>
      <c r="U49" s="8"/>
      <c r="V49" s="69"/>
    </row>
    <row r="50" spans="1:24" ht="18.75" customHeight="1">
      <c r="A50" s="4"/>
      <c r="B50" s="5"/>
      <c r="C50" s="2" t="s">
        <v>2</v>
      </c>
      <c r="D50" s="3" t="s">
        <v>3</v>
      </c>
      <c r="E50" s="3" t="s">
        <v>4</v>
      </c>
      <c r="F50" s="3" t="s">
        <v>5</v>
      </c>
      <c r="G50" s="69"/>
      <c r="H50" s="11" t="s">
        <v>2</v>
      </c>
      <c r="I50" s="12" t="s">
        <v>3</v>
      </c>
      <c r="J50" s="12" t="s">
        <v>4</v>
      </c>
      <c r="K50" s="12" t="s">
        <v>5</v>
      </c>
      <c r="L50" s="69"/>
      <c r="M50" s="11" t="s">
        <v>2</v>
      </c>
      <c r="N50" s="12" t="s">
        <v>3</v>
      </c>
      <c r="O50" s="12" t="s">
        <v>4</v>
      </c>
      <c r="P50" s="12" t="s">
        <v>5</v>
      </c>
      <c r="Q50" s="13"/>
      <c r="R50" s="11" t="s">
        <v>2</v>
      </c>
      <c r="S50" s="12" t="s">
        <v>3</v>
      </c>
      <c r="T50" s="12" t="s">
        <v>4</v>
      </c>
      <c r="U50" s="12" t="s">
        <v>5</v>
      </c>
      <c r="V50" s="69"/>
    </row>
    <row r="51" spans="1:24">
      <c r="A51" s="4"/>
      <c r="B51" s="5"/>
      <c r="C51" s="72" t="s">
        <v>0</v>
      </c>
      <c r="D51" s="35">
        <v>1</v>
      </c>
      <c r="E51" s="35">
        <v>4</v>
      </c>
      <c r="F51" s="35" t="str">
        <f>MROUND(PROFIL!$F$15*0.825,(PROFIL!$F$12))&amp;"kg"</f>
        <v>192,5kg</v>
      </c>
      <c r="G51" s="69"/>
      <c r="H51" s="35" t="str">
        <f>PROFIL!$F$19</f>
        <v>Squat Barre Haute</v>
      </c>
      <c r="I51" s="35">
        <f>IF(PROFIL!$D$8="Femme",3,2)</f>
        <v>2</v>
      </c>
      <c r="J51" s="35">
        <v>3</v>
      </c>
      <c r="K51" s="35" t="str">
        <f>MROUND(PROFIL!$F$15*0.725,(PROFIL!$F$12))&amp;"kg"</f>
        <v>167,5kg</v>
      </c>
      <c r="L51" s="69"/>
      <c r="M51" s="75" t="s">
        <v>73</v>
      </c>
      <c r="N51" s="76"/>
      <c r="O51" s="76"/>
      <c r="P51" s="77"/>
      <c r="Q51" s="13"/>
      <c r="R51" s="72" t="s">
        <v>0</v>
      </c>
      <c r="S51" s="35">
        <v>1</v>
      </c>
      <c r="T51" s="44" t="s">
        <v>34</v>
      </c>
      <c r="U51" s="40" t="str">
        <f>MROUND(PROFIL!$F$15*0.93,(PROFIL!$F$12))&amp;"kg"</f>
        <v>215kg</v>
      </c>
      <c r="V51" s="69"/>
    </row>
    <row r="52" spans="1:24" ht="15.75" customHeight="1">
      <c r="A52" s="4"/>
      <c r="B52" s="5"/>
      <c r="C52" s="72"/>
      <c r="D52" s="35">
        <v>3</v>
      </c>
      <c r="E52" s="35">
        <v>4</v>
      </c>
      <c r="F52" s="35" t="str">
        <f>MROUND((PROFIL!$F$15*0.825)*0.9,(PROFIL!$F$12))&amp;"kg"</f>
        <v>172,5kg</v>
      </c>
      <c r="G52" s="69"/>
      <c r="H52" s="73" t="str">
        <f>PROFIL!$F$28</f>
        <v>DC Serré</v>
      </c>
      <c r="I52" s="20" t="s">
        <v>8</v>
      </c>
      <c r="J52" s="16">
        <v>6</v>
      </c>
      <c r="K52" s="16" t="s">
        <v>9</v>
      </c>
      <c r="L52" s="69"/>
      <c r="M52" s="75"/>
      <c r="N52" s="76"/>
      <c r="O52" s="76"/>
      <c r="P52" s="77"/>
      <c r="Q52" s="13"/>
      <c r="R52" s="72"/>
      <c r="S52" s="35" t="s">
        <v>35</v>
      </c>
      <c r="T52" s="35" t="s">
        <v>33</v>
      </c>
      <c r="U52" s="40" t="s">
        <v>1</v>
      </c>
      <c r="V52" s="69"/>
    </row>
    <row r="53" spans="1:24">
      <c r="A53" s="4"/>
      <c r="B53" s="5"/>
      <c r="C53" s="74" t="s">
        <v>6</v>
      </c>
      <c r="D53" s="16">
        <v>1</v>
      </c>
      <c r="E53" s="16">
        <v>4</v>
      </c>
      <c r="F53" s="16" t="str">
        <f>MROUND(PROFIL!$F$24*0.825,(PROFIL!$F$12))&amp;"kg"</f>
        <v>125kg</v>
      </c>
      <c r="G53" s="69"/>
      <c r="H53" s="73"/>
      <c r="I53" s="16" t="str">
        <f>IF(PROFIL!G10&gt;84,1,"1-2")</f>
        <v>1-2</v>
      </c>
      <c r="J53" s="16" t="str">
        <f>IF(PROFIL!D8="Femme","8","6")</f>
        <v>6</v>
      </c>
      <c r="K53" s="27">
        <v>-0.1</v>
      </c>
      <c r="L53" s="69"/>
      <c r="M53" s="75"/>
      <c r="N53" s="76"/>
      <c r="O53" s="76"/>
      <c r="P53" s="77"/>
      <c r="Q53" s="18"/>
      <c r="R53" s="74" t="s">
        <v>6</v>
      </c>
      <c r="S53" s="16">
        <v>1</v>
      </c>
      <c r="T53" s="20" t="s">
        <v>34</v>
      </c>
      <c r="U53" s="19" t="str">
        <f>MROUND(PROFIL!$F$24*0.93,(PROFIL!$F$12))&amp;"kg"</f>
        <v>140kg</v>
      </c>
      <c r="V53" s="69"/>
    </row>
    <row r="54" spans="1:24" ht="15.75" customHeight="1">
      <c r="A54" s="85" t="s">
        <v>32</v>
      </c>
      <c r="B54" s="5"/>
      <c r="C54" s="74"/>
      <c r="D54" s="16" t="str">
        <f>IF(PROFIL!D8="Femme","4-5","4")</f>
        <v>4</v>
      </c>
      <c r="E54" s="16">
        <v>4</v>
      </c>
      <c r="F54" s="16" t="str">
        <f>MROUND((PROFIL!$F$24*0.825)*0.9,(PROFIL!$F$12))&amp;"kg"</f>
        <v>112,5kg</v>
      </c>
      <c r="G54" s="69"/>
      <c r="H54" s="35" t="s">
        <v>10</v>
      </c>
      <c r="I54" s="36" t="str">
        <f>IF(PROFIL!D52="Femme","4","3")</f>
        <v>3</v>
      </c>
      <c r="J54" s="36">
        <v>12</v>
      </c>
      <c r="K54" s="37" t="s">
        <v>71</v>
      </c>
      <c r="L54" s="69"/>
      <c r="M54" s="75"/>
      <c r="N54" s="76"/>
      <c r="O54" s="76"/>
      <c r="P54" s="77"/>
      <c r="Q54" s="18"/>
      <c r="R54" s="74"/>
      <c r="S54" s="16" t="s">
        <v>35</v>
      </c>
      <c r="T54" s="16" t="s">
        <v>33</v>
      </c>
      <c r="U54" s="19" t="s">
        <v>1</v>
      </c>
      <c r="V54" s="69"/>
    </row>
    <row r="55" spans="1:24">
      <c r="A55" s="85"/>
      <c r="B55" s="5"/>
      <c r="C55" s="38" t="s">
        <v>36</v>
      </c>
      <c r="D55" s="35">
        <v>1</v>
      </c>
      <c r="E55" s="35">
        <v>4</v>
      </c>
      <c r="F55" s="35" t="str">
        <f>MROUND(PROFIL!$F$36*0.825,(PROFIL!$F$12))&amp;"kg"</f>
        <v>252,5kg</v>
      </c>
      <c r="G55" s="69"/>
      <c r="H55" s="21" t="s">
        <v>11</v>
      </c>
      <c r="I55" s="16">
        <v>3</v>
      </c>
      <c r="J55" s="20" t="s">
        <v>12</v>
      </c>
      <c r="K55" s="16"/>
      <c r="L55" s="69"/>
      <c r="M55" s="75"/>
      <c r="N55" s="76"/>
      <c r="O55" s="76"/>
      <c r="P55" s="77"/>
      <c r="Q55" s="13"/>
      <c r="R55" s="72" t="s">
        <v>36</v>
      </c>
      <c r="S55" s="35">
        <v>1</v>
      </c>
      <c r="T55" s="44" t="s">
        <v>34</v>
      </c>
      <c r="U55" s="40" t="str">
        <f>MROUND(PROFIL!$F$36*0.925,(PROFIL!$F$12))&amp;"kg"</f>
        <v>282,5kg</v>
      </c>
      <c r="V55" s="69"/>
    </row>
    <row r="56" spans="1:24" ht="16.5" thickBot="1">
      <c r="A56" s="85"/>
      <c r="B56" s="22"/>
      <c r="C56" s="23" t="str">
        <f>PROFIL!$F$40</f>
        <v>SDT Deficit</v>
      </c>
      <c r="D56" s="24" t="s">
        <v>16</v>
      </c>
      <c r="E56" s="25">
        <v>2</v>
      </c>
      <c r="F56" s="25" t="s">
        <v>28</v>
      </c>
      <c r="G56" s="70"/>
      <c r="H56" s="39" t="s">
        <v>13</v>
      </c>
      <c r="I56" s="32">
        <v>3</v>
      </c>
      <c r="J56" s="33" t="s">
        <v>12</v>
      </c>
      <c r="K56" s="32"/>
      <c r="L56" s="70"/>
      <c r="M56" s="78"/>
      <c r="N56" s="79"/>
      <c r="O56" s="79"/>
      <c r="P56" s="80"/>
      <c r="Q56" s="26"/>
      <c r="R56" s="81"/>
      <c r="S56" s="32" t="s">
        <v>35</v>
      </c>
      <c r="T56" s="32" t="s">
        <v>33</v>
      </c>
      <c r="U56" s="41" t="s">
        <v>1</v>
      </c>
      <c r="V56" s="70"/>
    </row>
    <row r="57" spans="1:24" s="1" customForma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s="1" customForma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5.75" hidden="1" customHeight="1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R59" s="28"/>
      <c r="S59" s="28"/>
      <c r="T59" s="28"/>
      <c r="U59" s="28"/>
      <c r="V59" s="28"/>
    </row>
    <row r="60" spans="1:24" ht="15.75" hidden="1" customHeight="1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R60" s="28"/>
      <c r="S60" s="28"/>
      <c r="T60" s="28"/>
      <c r="U60" s="28"/>
      <c r="V60" s="28"/>
    </row>
    <row r="61" spans="1:24" ht="15.75" hidden="1" customHeight="1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R61" s="28"/>
      <c r="S61" s="28"/>
      <c r="T61" s="28"/>
      <c r="U61" s="28"/>
      <c r="V61" s="28"/>
    </row>
    <row r="62" spans="1:24" ht="15.75" hidden="1" customHeight="1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R62" s="28"/>
      <c r="S62" s="28"/>
      <c r="T62" s="28"/>
      <c r="U62" s="28"/>
      <c r="V62" s="28"/>
    </row>
    <row r="63" spans="1:24" ht="15.75" hidden="1" customHeight="1">
      <c r="A63" s="28"/>
      <c r="B63" s="28"/>
      <c r="C63" s="28"/>
      <c r="D63" s="28"/>
      <c r="E63" s="28"/>
      <c r="F63" s="28"/>
      <c r="G63" s="28"/>
      <c r="H63" s="29"/>
      <c r="I63" s="29"/>
      <c r="J63" s="28"/>
      <c r="K63" s="28"/>
      <c r="L63" s="28"/>
      <c r="M63" s="28"/>
      <c r="N63" s="28"/>
      <c r="O63" s="28"/>
      <c r="P63" s="28"/>
      <c r="R63" s="28"/>
      <c r="S63" s="28"/>
      <c r="T63" s="28"/>
      <c r="U63" s="28"/>
      <c r="V63" s="28"/>
    </row>
    <row r="64" spans="1:24" ht="15.75" hidden="1" customHeight="1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R64" s="28"/>
      <c r="S64" s="28"/>
      <c r="T64" s="28"/>
      <c r="U64" s="28"/>
      <c r="V64" s="28"/>
    </row>
    <row r="65" spans="1:22" ht="15.75" hidden="1" customHeight="1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R65" s="28"/>
      <c r="S65" s="28"/>
      <c r="T65" s="28"/>
      <c r="U65" s="28"/>
      <c r="V65" s="28"/>
    </row>
    <row r="66" spans="1:22" ht="15.75" hidden="1" customHeight="1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R66" s="28"/>
      <c r="S66" s="28"/>
      <c r="T66" s="28"/>
      <c r="U66" s="28"/>
      <c r="V66" s="28"/>
    </row>
    <row r="67" spans="1:22" ht="15.75" hidden="1" customHeight="1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R67" s="28"/>
      <c r="S67" s="28"/>
      <c r="T67" s="28"/>
      <c r="U67" s="28"/>
      <c r="V67" s="28"/>
    </row>
    <row r="68" spans="1:22" ht="15.75" hidden="1" customHeight="1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R68" s="28"/>
      <c r="S68" s="28"/>
      <c r="T68" s="28"/>
      <c r="U68" s="28"/>
      <c r="V68" s="28"/>
    </row>
    <row r="69" spans="1:22" ht="15.75" hidden="1" customHeight="1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R69" s="28"/>
      <c r="S69" s="28"/>
      <c r="T69" s="28"/>
      <c r="U69" s="28"/>
      <c r="V69" s="28"/>
    </row>
    <row r="70" spans="1:22" ht="15.75" hidden="1" customHeight="1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R70" s="28"/>
      <c r="S70" s="28"/>
      <c r="T70" s="28"/>
      <c r="U70" s="28"/>
      <c r="V70" s="28"/>
    </row>
    <row r="71" spans="1:22" ht="15.75" hidden="1" customHeight="1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R71" s="28"/>
      <c r="S71" s="28"/>
      <c r="T71" s="28"/>
      <c r="U71" s="28"/>
      <c r="V71" s="28"/>
    </row>
    <row r="72" spans="1:22" ht="15.75" hidden="1" customHeight="1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R72" s="28"/>
      <c r="S72" s="28"/>
      <c r="T72" s="28"/>
      <c r="U72" s="28"/>
      <c r="V72" s="28"/>
    </row>
    <row r="73" spans="1:22" ht="15.75" hidden="1" customHeight="1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R73" s="28"/>
      <c r="S73" s="28"/>
      <c r="T73" s="28"/>
      <c r="U73" s="28"/>
      <c r="V73" s="28"/>
    </row>
    <row r="74" spans="1:22" ht="15.75" hidden="1" customHeight="1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R74" s="28"/>
      <c r="S74" s="28"/>
      <c r="T74" s="28"/>
      <c r="U74" s="28"/>
      <c r="V74" s="28"/>
    </row>
    <row r="75" spans="1:22" ht="15.75" hidden="1" customHeight="1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R75" s="28"/>
      <c r="S75" s="28"/>
      <c r="T75" s="28"/>
      <c r="U75" s="28"/>
      <c r="V75" s="28"/>
    </row>
    <row r="76" spans="1:22" ht="15.75" hidden="1" customHeight="1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R76" s="28"/>
      <c r="S76" s="28"/>
      <c r="T76" s="28"/>
      <c r="U76" s="28"/>
      <c r="V76" s="28"/>
    </row>
    <row r="77" spans="1:22" ht="15.75" hidden="1" customHeight="1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R77" s="28"/>
      <c r="S77" s="28"/>
      <c r="T77" s="28"/>
      <c r="U77" s="28"/>
      <c r="V77" s="28"/>
    </row>
    <row r="78" spans="1:22" ht="15.75" hidden="1" customHeight="1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R78" s="28"/>
      <c r="S78" s="28"/>
      <c r="T78" s="28"/>
      <c r="U78" s="28"/>
      <c r="V78" s="28"/>
    </row>
    <row r="79" spans="1:22" ht="15.75" hidden="1" customHeight="1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R79" s="28"/>
      <c r="S79" s="28"/>
      <c r="T79" s="28"/>
      <c r="U79" s="28"/>
      <c r="V79" s="28"/>
    </row>
    <row r="80" spans="1:22" ht="15.75" hidden="1" customHeight="1"/>
    <row r="81" ht="15.75" hidden="1" customHeight="1"/>
    <row r="82" ht="15.75" hidden="1" customHeight="1"/>
    <row r="83" ht="15.75" hidden="1" customHeight="1"/>
    <row r="84" ht="15.75" hidden="1" customHeight="1"/>
    <row r="85" ht="15.75" hidden="1" customHeight="1"/>
    <row r="86" ht="15.75" hidden="1" customHeight="1"/>
    <row r="87" ht="15.75" hidden="1" customHeight="1"/>
    <row r="88" ht="15.75" hidden="1" customHeight="1"/>
    <row r="89" ht="15.75" hidden="1" customHeight="1"/>
    <row r="90" ht="15.75" hidden="1" customHeight="1"/>
    <row r="91" ht="15.75" hidden="1" customHeight="1"/>
    <row r="92" ht="15.75" hidden="1" customHeight="1"/>
    <row r="93" ht="15.75" hidden="1" customHeight="1"/>
    <row r="94" ht="15.75" hidden="1" customHeight="1"/>
    <row r="95" ht="15.75" hidden="1" customHeight="1"/>
    <row r="96" ht="15.75" hidden="1" customHeight="1"/>
    <row r="97" ht="15.75" hidden="1" customHeight="1"/>
    <row r="98" ht="15.75" hidden="1" customHeight="1"/>
    <row r="99" ht="15.75" hidden="1" customHeight="1"/>
    <row r="100" ht="15.75" hidden="1" customHeight="1"/>
    <row r="101" ht="15.75" hidden="1" customHeight="1"/>
    <row r="102" ht="15.75" hidden="1" customHeight="1"/>
    <row r="103" ht="15.75" hidden="1" customHeight="1"/>
    <row r="104" ht="15.75" hidden="1" customHeight="1"/>
    <row r="105" ht="15.75" hidden="1" customHeight="1"/>
    <row r="106" ht="15.75" hidden="1" customHeight="1"/>
    <row r="107" ht="15.75" hidden="1" customHeight="1"/>
    <row r="108" ht="15.75" hidden="1" customHeight="1"/>
    <row r="109" ht="15.75" hidden="1" customHeight="1"/>
    <row r="110" ht="15.75" hidden="1" customHeight="1"/>
    <row r="111" ht="15.75" hidden="1" customHeight="1"/>
    <row r="112" ht="15.75" hidden="1" customHeight="1"/>
    <row r="113" ht="15.75" hidden="1" customHeight="1"/>
    <row r="114" ht="15.75" hidden="1" customHeight="1"/>
    <row r="115" ht="15.75" hidden="1" customHeight="1"/>
    <row r="116" ht="15.75" hidden="1" customHeight="1"/>
    <row r="117" ht="15.75" hidden="1" customHeight="1"/>
    <row r="118" ht="15.75" hidden="1" customHeight="1"/>
    <row r="119" ht="15.75" hidden="1" customHeight="1"/>
    <row r="120" ht="15.75" hidden="1" customHeight="1"/>
    <row r="121" ht="15.75" hidden="1" customHeight="1"/>
    <row r="122" ht="15.75" hidden="1" customHeight="1"/>
    <row r="123" ht="15.75" hidden="1" customHeight="1"/>
    <row r="124" ht="15.75" hidden="1" customHeight="1"/>
    <row r="125" ht="15.75" hidden="1" customHeight="1"/>
    <row r="126" ht="15.75" hidden="1" customHeight="1"/>
    <row r="127" ht="15.75" hidden="1" customHeight="1"/>
  </sheetData>
  <sheetProtection algorithmName="SHA-512" hashValue="SlE+zSBC+yecTfDyPJxpcGfkHrULMbOXSl2ZUxo5MR9o7QhrSBL+YFZx6wdqDOlwc8QyuMIvOqcRfgt+HL4REQ==" saltValue="pbtcn4uDsLKQXpqZ2x6o5w==" spinCount="100000" sheet="1" objects="1" scenarios="1"/>
  <mergeCells count="75">
    <mergeCell ref="C2:F2"/>
    <mergeCell ref="H2:K2"/>
    <mergeCell ref="M2:P2"/>
    <mergeCell ref="R2:U2"/>
    <mergeCell ref="A54:A56"/>
    <mergeCell ref="R55:R56"/>
    <mergeCell ref="C51:C52"/>
    <mergeCell ref="R51:R52"/>
    <mergeCell ref="H52:H53"/>
    <mergeCell ref="C53:C54"/>
    <mergeCell ref="R53:R54"/>
    <mergeCell ref="C48:F48"/>
    <mergeCell ref="H48:K48"/>
    <mergeCell ref="M48:P48"/>
    <mergeCell ref="R48:U48"/>
    <mergeCell ref="G48:G56"/>
    <mergeCell ref="L48:L56"/>
    <mergeCell ref="M51:P56"/>
    <mergeCell ref="A43:A45"/>
    <mergeCell ref="C40:C41"/>
    <mergeCell ref="M40:M41"/>
    <mergeCell ref="R40:R41"/>
    <mergeCell ref="H41:H42"/>
    <mergeCell ref="C42:C43"/>
    <mergeCell ref="C37:F37"/>
    <mergeCell ref="H37:K37"/>
    <mergeCell ref="M37:P37"/>
    <mergeCell ref="R37:U37"/>
    <mergeCell ref="G37:G45"/>
    <mergeCell ref="L37:L45"/>
    <mergeCell ref="M42:M43"/>
    <mergeCell ref="A32:A34"/>
    <mergeCell ref="C29:C30"/>
    <mergeCell ref="M29:M30"/>
    <mergeCell ref="R29:R30"/>
    <mergeCell ref="H30:H31"/>
    <mergeCell ref="C31:C32"/>
    <mergeCell ref="C26:F26"/>
    <mergeCell ref="H26:K26"/>
    <mergeCell ref="M26:P26"/>
    <mergeCell ref="R26:U26"/>
    <mergeCell ref="G26:G34"/>
    <mergeCell ref="L26:L34"/>
    <mergeCell ref="M31:M32"/>
    <mergeCell ref="A10:A12"/>
    <mergeCell ref="A21:A23"/>
    <mergeCell ref="C18:C19"/>
    <mergeCell ref="M18:M19"/>
    <mergeCell ref="R18:R19"/>
    <mergeCell ref="H19:H20"/>
    <mergeCell ref="C20:C21"/>
    <mergeCell ref="C15:F15"/>
    <mergeCell ref="H15:K15"/>
    <mergeCell ref="M15:P15"/>
    <mergeCell ref="R15:U15"/>
    <mergeCell ref="G15:G23"/>
    <mergeCell ref="L15:L23"/>
    <mergeCell ref="M20:M21"/>
    <mergeCell ref="C4:F4"/>
    <mergeCell ref="H4:K4"/>
    <mergeCell ref="M4:P4"/>
    <mergeCell ref="R4:U4"/>
    <mergeCell ref="C7:C8"/>
    <mergeCell ref="M7:M8"/>
    <mergeCell ref="R7:R8"/>
    <mergeCell ref="H8:H9"/>
    <mergeCell ref="C9:C10"/>
    <mergeCell ref="G4:G12"/>
    <mergeCell ref="L4:L12"/>
    <mergeCell ref="M9:M10"/>
    <mergeCell ref="V4:V12"/>
    <mergeCell ref="V15:V23"/>
    <mergeCell ref="V26:V34"/>
    <mergeCell ref="V37:V45"/>
    <mergeCell ref="V48:V56"/>
  </mergeCells>
  <pageMargins left="0.7" right="0.7" top="0.75" bottom="0.75" header="0.3" footer="0.3"/>
  <pageSetup orientation="portrait" r:id="rId1"/>
  <ignoredErrors>
    <ignoredError sqref="I8 I19 I30 I41 I52 D56" numberStoredAsText="1"/>
    <ignoredError sqref="J11:J12 J22:J23 J33:J34 J44:J45 J55:J56 O12" twoDigitTextYear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77"/>
  <sheetViews>
    <sheetView showGridLines="0" tabSelected="1" zoomScaleNormal="100" workbookViewId="0">
      <selection activeCell="P28" sqref="P27:P28"/>
    </sheetView>
  </sheetViews>
  <sheetFormatPr defaultColWidth="0" defaultRowHeight="15.75" zeroHeight="1"/>
  <cols>
    <col min="1" max="1" width="7.140625" style="30" customWidth="1"/>
    <col min="2" max="2" width="6" style="30" customWidth="1"/>
    <col min="3" max="4" width="9.140625" style="30" customWidth="1"/>
    <col min="5" max="5" width="7.7109375" style="30" customWidth="1"/>
    <col min="6" max="6" width="8" style="30" customWidth="1"/>
    <col min="7" max="8" width="11.42578125" style="50" customWidth="1"/>
    <col min="9" max="9" width="10.7109375" style="50" customWidth="1"/>
    <col min="10" max="10" width="0.42578125" style="50" customWidth="1"/>
    <col min="11" max="11" width="9.28515625" style="50" customWidth="1"/>
    <col min="12" max="12" width="7.140625" style="50" customWidth="1"/>
    <col min="13" max="14" width="9.28515625" style="50" customWidth="1"/>
    <col min="15" max="15" width="0.5703125" style="50" customWidth="1"/>
    <col min="16" max="16" width="9.28515625" style="50" customWidth="1"/>
    <col min="17" max="17" width="7.140625" style="50" customWidth="1"/>
    <col min="18" max="19" width="9.28515625" style="50" customWidth="1"/>
    <col min="20" max="20" width="0.5703125" style="50" customWidth="1"/>
    <col min="21" max="21" width="9.28515625" style="50" customWidth="1"/>
    <col min="22" max="22" width="7.140625" style="50" customWidth="1"/>
    <col min="23" max="23" width="9.28515625" style="50" customWidth="1"/>
    <col min="24" max="24" width="11.42578125" style="50" customWidth="1"/>
    <col min="25" max="25" width="11.42578125" style="4" customWidth="1"/>
    <col min="26" max="30" width="11.42578125" style="1" customWidth="1"/>
    <col min="31" max="16384" width="11.42578125" hidden="1"/>
  </cols>
  <sheetData>
    <row r="1" spans="1:23">
      <c r="A1" s="4"/>
      <c r="B1" s="4"/>
      <c r="C1" s="4"/>
      <c r="D1" s="4"/>
      <c r="E1" s="4"/>
      <c r="F1" s="4"/>
    </row>
    <row r="2" spans="1:23">
      <c r="A2" s="4"/>
      <c r="B2" s="4"/>
      <c r="C2" s="4"/>
      <c r="D2" s="4"/>
      <c r="E2" s="4"/>
      <c r="F2" s="4"/>
    </row>
    <row r="3" spans="1:23" ht="21">
      <c r="A3" s="4"/>
      <c r="B3" s="4"/>
      <c r="C3" s="4"/>
      <c r="D3" s="4"/>
      <c r="E3" s="4"/>
      <c r="F3" s="4"/>
      <c r="G3" s="49"/>
      <c r="H3" s="49" t="s">
        <v>78</v>
      </c>
      <c r="I3" s="49"/>
      <c r="J3" s="49"/>
      <c r="K3" s="86" t="s">
        <v>76</v>
      </c>
      <c r="L3" s="86"/>
      <c r="M3" s="86"/>
      <c r="P3" s="86" t="s">
        <v>6</v>
      </c>
      <c r="Q3" s="86"/>
      <c r="R3" s="86"/>
      <c r="U3" s="86" t="s">
        <v>36</v>
      </c>
      <c r="V3" s="86"/>
      <c r="W3" s="86"/>
    </row>
    <row r="4" spans="1:23" ht="16.5" thickBot="1">
      <c r="A4" s="4"/>
      <c r="B4" s="4"/>
      <c r="C4" s="4"/>
      <c r="D4" s="4"/>
      <c r="E4" s="4"/>
      <c r="F4" s="4"/>
      <c r="G4" s="51"/>
      <c r="H4" s="64" t="s">
        <v>77</v>
      </c>
      <c r="J4" s="52"/>
      <c r="K4" s="61" t="s">
        <v>41</v>
      </c>
      <c r="L4" s="62" t="s">
        <v>40</v>
      </c>
      <c r="M4" s="51" t="s">
        <v>45</v>
      </c>
      <c r="O4" s="52"/>
      <c r="P4" s="61" t="s">
        <v>41</v>
      </c>
      <c r="Q4" s="62" t="s">
        <v>40</v>
      </c>
      <c r="R4" s="51" t="s">
        <v>45</v>
      </c>
      <c r="T4" s="52"/>
      <c r="U4" s="61" t="s">
        <v>41</v>
      </c>
      <c r="V4" s="62" t="s">
        <v>40</v>
      </c>
      <c r="W4" s="51" t="s">
        <v>45</v>
      </c>
    </row>
    <row r="5" spans="1:23" ht="16.5" thickBot="1">
      <c r="A5" s="4"/>
      <c r="B5" s="4"/>
      <c r="C5" s="4"/>
      <c r="D5" s="4"/>
      <c r="E5" s="4"/>
      <c r="F5" s="4"/>
      <c r="J5" s="53"/>
      <c r="K5" s="58">
        <v>0</v>
      </c>
      <c r="L5" s="59">
        <v>0</v>
      </c>
      <c r="M5" s="60">
        <f>MROUND((K5*L5*0.0333)+K5,PROFIL!$F$12)</f>
        <v>0</v>
      </c>
      <c r="O5" s="53"/>
      <c r="P5" s="58">
        <v>0</v>
      </c>
      <c r="Q5" s="59">
        <v>0</v>
      </c>
      <c r="R5" s="60">
        <f>MROUND((P5*Q5*0.0333)+P5,PROFIL!$F$12)</f>
        <v>0</v>
      </c>
      <c r="T5" s="53"/>
      <c r="U5" s="58">
        <v>0</v>
      </c>
      <c r="V5" s="59">
        <v>0</v>
      </c>
      <c r="W5" s="60">
        <f>MROUND((U5*V5*0.0333)+U5,PROFIL!$F$12)</f>
        <v>0</v>
      </c>
    </row>
    <row r="6" spans="1:23">
      <c r="A6" s="4"/>
      <c r="B6" s="4"/>
      <c r="C6" s="4"/>
      <c r="D6" s="4"/>
      <c r="E6" s="4"/>
      <c r="F6" s="4"/>
    </row>
    <row r="7" spans="1:23">
      <c r="A7" s="4"/>
      <c r="B7" s="4"/>
      <c r="C7" s="4"/>
      <c r="D7" s="4"/>
      <c r="E7" s="4"/>
      <c r="F7" s="4"/>
    </row>
    <row r="8" spans="1:23">
      <c r="A8" s="4"/>
      <c r="B8" s="4"/>
      <c r="C8" s="4"/>
      <c r="D8" s="4"/>
      <c r="E8" s="4"/>
      <c r="F8" s="4"/>
    </row>
    <row r="9" spans="1:23" ht="19.5">
      <c r="A9" s="4"/>
      <c r="B9" s="4"/>
      <c r="C9" s="4"/>
      <c r="D9" s="4"/>
      <c r="E9" s="4"/>
      <c r="F9" s="4"/>
      <c r="H9" s="82" t="s">
        <v>38</v>
      </c>
      <c r="I9" s="82"/>
      <c r="J9" s="54"/>
      <c r="K9" s="50" t="s">
        <v>39</v>
      </c>
    </row>
    <row r="10" spans="1:23">
      <c r="A10" s="4"/>
      <c r="B10" s="4"/>
      <c r="C10" s="4"/>
      <c r="D10" s="4"/>
      <c r="E10" s="4"/>
      <c r="F10" s="4"/>
    </row>
    <row r="11" spans="1:23">
      <c r="A11" s="4"/>
      <c r="B11" s="4"/>
      <c r="C11" s="4"/>
      <c r="D11" s="4"/>
      <c r="E11" s="4"/>
      <c r="F11" s="4"/>
    </row>
    <row r="12" spans="1:23" ht="19.5">
      <c r="A12" s="4"/>
      <c r="B12" s="4"/>
      <c r="C12" s="4"/>
      <c r="D12" s="4"/>
      <c r="E12" s="4"/>
      <c r="F12" s="4"/>
      <c r="H12" s="82" t="s">
        <v>42</v>
      </c>
      <c r="I12" s="82"/>
      <c r="J12" s="54"/>
      <c r="K12" s="50" t="s">
        <v>83</v>
      </c>
    </row>
    <row r="13" spans="1:23">
      <c r="A13" s="4"/>
      <c r="B13" s="4"/>
      <c r="C13" s="4"/>
      <c r="D13" s="4"/>
      <c r="E13" s="4"/>
      <c r="F13" s="4"/>
      <c r="K13" s="50" t="s">
        <v>82</v>
      </c>
    </row>
    <row r="14" spans="1:23">
      <c r="A14" s="4"/>
      <c r="B14" s="4"/>
      <c r="C14" s="4"/>
      <c r="D14" s="4"/>
      <c r="E14" s="4"/>
      <c r="F14" s="4"/>
      <c r="K14" s="50" t="s">
        <v>84</v>
      </c>
    </row>
    <row r="15" spans="1:23">
      <c r="A15" s="4"/>
      <c r="B15" s="4"/>
      <c r="C15" s="4"/>
      <c r="D15" s="4"/>
      <c r="E15" s="4"/>
      <c r="F15" s="4"/>
    </row>
    <row r="16" spans="1:23" ht="63.75">
      <c r="A16" s="4"/>
      <c r="B16" s="65"/>
      <c r="C16" s="4"/>
      <c r="D16" s="4"/>
      <c r="E16" s="4"/>
      <c r="F16" s="4"/>
    </row>
    <row r="17" spans="1:17" ht="21">
      <c r="A17" s="4"/>
      <c r="B17" s="67"/>
      <c r="C17" s="66"/>
      <c r="D17" s="66"/>
      <c r="E17" s="66"/>
      <c r="F17" s="4"/>
    </row>
    <row r="18" spans="1:17" ht="19.5">
      <c r="A18" s="4"/>
      <c r="B18" s="88" t="s">
        <v>37</v>
      </c>
      <c r="C18" s="87"/>
      <c r="D18" s="87"/>
      <c r="E18" s="87"/>
      <c r="F18" s="87"/>
      <c r="H18" s="55" t="s">
        <v>75</v>
      </c>
    </row>
    <row r="19" spans="1:17" ht="15" customHeight="1">
      <c r="A19" s="4"/>
      <c r="B19" s="4"/>
      <c r="C19" s="4"/>
      <c r="D19" s="4"/>
      <c r="E19" s="4"/>
      <c r="F19" s="4"/>
    </row>
    <row r="20" spans="1:17" ht="15" customHeight="1">
      <c r="A20" s="4"/>
      <c r="B20" s="4"/>
      <c r="C20" s="4"/>
      <c r="D20" s="4"/>
      <c r="E20" s="4"/>
      <c r="F20" s="4"/>
    </row>
    <row r="21" spans="1:17" ht="15" customHeight="1">
      <c r="A21" s="4"/>
      <c r="B21" s="67"/>
      <c r="C21" s="66"/>
      <c r="D21" s="66"/>
      <c r="E21" s="66"/>
      <c r="F21" s="4"/>
      <c r="I21" s="56" t="s">
        <v>79</v>
      </c>
      <c r="J21" s="56"/>
      <c r="K21" s="56"/>
      <c r="L21" s="83" t="s">
        <v>43</v>
      </c>
      <c r="M21" s="83"/>
      <c r="N21" s="83"/>
      <c r="O21" s="83"/>
      <c r="P21" s="83"/>
      <c r="Q21" s="83"/>
    </row>
    <row r="22" spans="1:17" ht="15" customHeight="1">
      <c r="A22" s="4"/>
      <c r="B22" s="66"/>
      <c r="C22" s="66"/>
      <c r="D22" s="66"/>
      <c r="E22" s="66"/>
      <c r="F22" s="4"/>
    </row>
    <row r="23" spans="1:17" ht="15" customHeight="1">
      <c r="A23" s="4"/>
      <c r="B23" s="4"/>
      <c r="C23" s="4"/>
      <c r="D23" s="4"/>
      <c r="E23" s="4"/>
      <c r="F23" s="4"/>
      <c r="I23" s="57" t="s">
        <v>80</v>
      </c>
      <c r="J23" s="57"/>
      <c r="K23" s="57"/>
      <c r="L23" s="57"/>
      <c r="M23" s="84" t="s">
        <v>81</v>
      </c>
      <c r="N23" s="84"/>
      <c r="O23" s="84"/>
      <c r="P23" s="84"/>
    </row>
    <row r="24" spans="1:17">
      <c r="A24" s="63"/>
      <c r="B24" s="63"/>
      <c r="C24" s="63"/>
      <c r="D24" s="63"/>
      <c r="E24" s="63"/>
      <c r="F24" s="63"/>
    </row>
    <row r="25" spans="1:17" ht="15" customHeight="1">
      <c r="A25" s="63"/>
      <c r="B25" s="63"/>
      <c r="C25" s="63"/>
      <c r="D25" s="63"/>
      <c r="E25" s="63"/>
      <c r="F25" s="63"/>
    </row>
    <row r="26" spans="1:17" ht="15" customHeight="1">
      <c r="A26" s="63"/>
      <c r="B26" s="63"/>
      <c r="C26" s="63"/>
      <c r="D26" s="63"/>
      <c r="E26" s="63"/>
      <c r="F26" s="63"/>
    </row>
    <row r="27" spans="1:17">
      <c r="A27" s="63"/>
      <c r="B27" s="63"/>
      <c r="C27" s="63"/>
      <c r="D27" s="63"/>
      <c r="E27" s="63"/>
      <c r="F27" s="63"/>
    </row>
    <row r="28" spans="1:17">
      <c r="A28" s="63"/>
      <c r="B28" s="63"/>
      <c r="C28" s="63"/>
      <c r="D28" s="63"/>
      <c r="E28" s="63"/>
      <c r="F28" s="63"/>
    </row>
    <row r="29" spans="1:17">
      <c r="A29" s="63"/>
      <c r="B29" s="63"/>
      <c r="C29" s="63"/>
      <c r="D29" s="63"/>
      <c r="E29" s="63"/>
      <c r="F29" s="63"/>
    </row>
    <row r="30" spans="1:17">
      <c r="A30" s="63"/>
      <c r="B30" s="63"/>
      <c r="C30" s="63"/>
      <c r="D30" s="63"/>
      <c r="E30" s="63"/>
      <c r="F30" s="63"/>
    </row>
    <row r="31" spans="1:17">
      <c r="A31" s="63"/>
      <c r="B31" s="63"/>
      <c r="C31" s="63"/>
      <c r="D31" s="63"/>
      <c r="E31" s="63"/>
      <c r="F31" s="63"/>
    </row>
    <row r="32" spans="1:17">
      <c r="A32" s="63"/>
      <c r="B32" s="63"/>
      <c r="C32" s="63"/>
      <c r="D32" s="63"/>
      <c r="E32" s="63"/>
      <c r="F32" s="63"/>
    </row>
    <row r="33" spans="1:6">
      <c r="A33" s="63"/>
      <c r="B33" s="63"/>
      <c r="C33" s="63"/>
      <c r="D33" s="63"/>
      <c r="E33" s="63"/>
      <c r="F33" s="63"/>
    </row>
    <row r="34" spans="1:6">
      <c r="A34" s="63"/>
      <c r="B34" s="63"/>
      <c r="C34" s="63"/>
      <c r="D34" s="63"/>
      <c r="E34" s="63"/>
      <c r="F34" s="63"/>
    </row>
    <row r="35" spans="1:6">
      <c r="A35" s="63"/>
      <c r="B35" s="63"/>
      <c r="C35" s="63"/>
      <c r="D35" s="63"/>
      <c r="E35" s="63"/>
      <c r="F35" s="63"/>
    </row>
    <row r="36" spans="1:6">
      <c r="A36" s="63"/>
      <c r="B36" s="63"/>
      <c r="C36" s="63"/>
      <c r="D36" s="63"/>
      <c r="E36" s="63"/>
      <c r="F36" s="63"/>
    </row>
    <row r="37" spans="1:6">
      <c r="A37" s="63"/>
      <c r="B37" s="63"/>
      <c r="C37" s="63"/>
      <c r="D37" s="63"/>
      <c r="E37" s="63"/>
      <c r="F37" s="63"/>
    </row>
    <row r="38" spans="1:6">
      <c r="A38" s="63"/>
      <c r="B38" s="63"/>
      <c r="C38" s="63"/>
      <c r="D38" s="63"/>
      <c r="E38" s="63"/>
      <c r="F38" s="63"/>
    </row>
    <row r="39" spans="1:6" ht="15.75" hidden="1" customHeight="1">
      <c r="A39" s="28"/>
      <c r="B39" s="28"/>
      <c r="C39" s="28"/>
      <c r="D39" s="28"/>
      <c r="E39" s="28"/>
      <c r="F39" s="28"/>
    </row>
    <row r="40" spans="1:6" ht="15.75" hidden="1" customHeight="1">
      <c r="A40" s="28"/>
      <c r="B40" s="28"/>
      <c r="C40" s="28"/>
      <c r="D40" s="28"/>
      <c r="E40" s="28"/>
      <c r="F40" s="28"/>
    </row>
    <row r="41" spans="1:6" ht="15.75" hidden="1" customHeight="1"/>
    <row r="42" spans="1:6" ht="15.75" hidden="1" customHeight="1"/>
    <row r="43" spans="1:6" ht="15.75" hidden="1" customHeight="1"/>
    <row r="44" spans="1:6" ht="15.75" hidden="1" customHeight="1"/>
    <row r="45" spans="1:6" ht="15.75" hidden="1" customHeight="1"/>
    <row r="46" spans="1:6" ht="15.75" hidden="1" customHeight="1"/>
    <row r="47" spans="1:6" ht="15.75" hidden="1" customHeight="1"/>
    <row r="48" spans="1:6" ht="15.75" hidden="1" customHeight="1"/>
    <row r="49" ht="15.75" hidden="1" customHeight="1"/>
    <row r="50" ht="15.75" hidden="1" customHeight="1"/>
    <row r="51" ht="15.75" hidden="1" customHeight="1"/>
    <row r="52" ht="15.75" hidden="1" customHeight="1"/>
    <row r="53" ht="15.75" hidden="1" customHeight="1"/>
    <row r="54" ht="15.75" hidden="1" customHeight="1"/>
    <row r="55" ht="15.75" hidden="1" customHeight="1"/>
    <row r="56" ht="15.75" hidden="1" customHeight="1"/>
    <row r="57" ht="15.75" hidden="1" customHeight="1"/>
    <row r="58" ht="15.75" hidden="1" customHeight="1"/>
    <row r="59" ht="15.75" hidden="1" customHeight="1"/>
    <row r="60" ht="15.75" hidden="1" customHeight="1"/>
    <row r="61" ht="15.75" hidden="1" customHeight="1"/>
    <row r="62" ht="15.75" hidden="1" customHeight="1"/>
    <row r="63" ht="15.75" hidden="1" customHeight="1"/>
    <row r="64" ht="15.75" hidden="1" customHeight="1"/>
    <row r="65" ht="15.75" hidden="1" customHeight="1"/>
    <row r="66" ht="15.75" hidden="1" customHeight="1"/>
    <row r="67" ht="15.75" hidden="1" customHeight="1"/>
    <row r="68" ht="15.75" hidden="1" customHeight="1"/>
    <row r="69" ht="15.75" hidden="1" customHeight="1"/>
    <row r="70" ht="15.75" hidden="1" customHeight="1"/>
    <row r="71" ht="15.75" hidden="1" customHeight="1"/>
    <row r="72" ht="15.75" hidden="1" customHeight="1"/>
    <row r="73" ht="15.75" hidden="1" customHeight="1"/>
    <row r="74" ht="15.75" hidden="1" customHeight="1"/>
    <row r="75" ht="15.75" hidden="1" customHeight="1"/>
    <row r="76" ht="15.75" hidden="1" customHeight="1"/>
    <row r="77" ht="15.75" hidden="1" customHeight="1"/>
  </sheetData>
  <sheetProtection selectLockedCells="1"/>
  <mergeCells count="7">
    <mergeCell ref="K3:M3"/>
    <mergeCell ref="P3:R3"/>
    <mergeCell ref="U3:W3"/>
    <mergeCell ref="H9:I9"/>
    <mergeCell ref="H12:I12"/>
    <mergeCell ref="L21:Q21"/>
    <mergeCell ref="M23:P23"/>
  </mergeCells>
  <hyperlinks>
    <hyperlink ref="L21" r:id="rId1" xr:uid="{00000000-0004-0000-0300-000000000000}"/>
    <hyperlink ref="M23:P23" r:id="rId2" display="Atlas_pwr" xr:uid="{00000000-0004-0000-0300-000001000000}"/>
    <hyperlink ref="B18" r:id="rId3" xr:uid="{6D445351-9FF1-43DD-AC97-39D80F57A6EC}"/>
  </hyperlinks>
  <pageMargins left="0.7" right="0.7" top="0.75" bottom="0.75" header="0.3" footer="0.3"/>
  <pageSetup orientation="portrait" horizontalDpi="300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PROFIL</vt:lpstr>
      <vt:lpstr>PROGRAMME</vt:lpstr>
      <vt:lpstr>ENSUITE...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2025-03-18T20:40:23Z</dcterms:modified>
</cp:coreProperties>
</file>