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/>
  <xr:revisionPtr revIDLastSave="0" documentId="13_ncr:1_{8F8BD6CC-2232-463C-A04B-09EE831D398D}" xr6:coauthVersionLast="45" xr6:coauthVersionMax="45" xr10:uidLastSave="{00000000-0000-0000-0000-000000000000}"/>
  <bookViews>
    <workbookView xWindow="-120" yWindow="-120" windowWidth="38640" windowHeight="21240" activeTab="1" xr2:uid="{00000000-000D-0000-FFFF-FFFF00000000}"/>
  </bookViews>
  <sheets>
    <sheet name="Démarrage" sheetId="1" r:id="rId1"/>
    <sheet name="Version Tradi" sheetId="3" r:id="rId2"/>
    <sheet name="Version Sumo" sheetId="5" r:id="rId3"/>
    <sheet name="Ensuite...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K5" i="4"/>
  <c r="U51" i="3"/>
  <c r="P17" i="3"/>
  <c r="P16" i="3"/>
  <c r="P28" i="3"/>
  <c r="P27" i="3"/>
  <c r="P39" i="3"/>
  <c r="P38" i="3"/>
  <c r="U49" i="3"/>
  <c r="P19" i="3"/>
  <c r="P18" i="3"/>
  <c r="P30" i="3"/>
  <c r="P29" i="3"/>
  <c r="P41" i="3"/>
  <c r="P40" i="3"/>
  <c r="P19" i="5"/>
  <c r="P18" i="5"/>
  <c r="P30" i="5"/>
  <c r="P29" i="5"/>
  <c r="P41" i="5"/>
  <c r="P40" i="5"/>
  <c r="U53" i="5"/>
  <c r="U51" i="5"/>
  <c r="U49" i="5"/>
  <c r="P6" i="5"/>
  <c r="P5" i="5"/>
  <c r="P17" i="5"/>
  <c r="P16" i="5"/>
  <c r="P28" i="5"/>
  <c r="P39" i="5"/>
  <c r="P27" i="5"/>
  <c r="P38" i="5"/>
  <c r="C54" i="5"/>
  <c r="C43" i="5"/>
  <c r="C32" i="5"/>
  <c r="C21" i="5"/>
  <c r="C10" i="5"/>
  <c r="F53" i="5"/>
  <c r="I52" i="5"/>
  <c r="F52" i="5"/>
  <c r="D52" i="5"/>
  <c r="J51" i="5"/>
  <c r="I51" i="5"/>
  <c r="F51" i="5"/>
  <c r="H50" i="5"/>
  <c r="F50" i="5"/>
  <c r="K49" i="5"/>
  <c r="I49" i="5"/>
  <c r="H49" i="5"/>
  <c r="F49" i="5"/>
  <c r="N42" i="5"/>
  <c r="F42" i="5"/>
  <c r="U41" i="5"/>
  <c r="N41" i="5"/>
  <c r="I41" i="5"/>
  <c r="F41" i="5"/>
  <c r="D41" i="5"/>
  <c r="U40" i="5"/>
  <c r="R40" i="5"/>
  <c r="J40" i="5"/>
  <c r="I40" i="5"/>
  <c r="F40" i="5"/>
  <c r="U39" i="5"/>
  <c r="S39" i="5"/>
  <c r="H39" i="5"/>
  <c r="F39" i="5"/>
  <c r="U38" i="5"/>
  <c r="K38" i="5"/>
  <c r="I38" i="5"/>
  <c r="H38" i="5"/>
  <c r="F38" i="5"/>
  <c r="N31" i="5"/>
  <c r="F31" i="5"/>
  <c r="U30" i="5"/>
  <c r="N30" i="5"/>
  <c r="I30" i="5"/>
  <c r="F30" i="5"/>
  <c r="D30" i="5"/>
  <c r="U29" i="5"/>
  <c r="R29" i="5"/>
  <c r="J29" i="5"/>
  <c r="I29" i="5"/>
  <c r="F29" i="5"/>
  <c r="U28" i="5"/>
  <c r="S28" i="5"/>
  <c r="H28" i="5"/>
  <c r="F28" i="5"/>
  <c r="U27" i="5"/>
  <c r="K27" i="5"/>
  <c r="I27" i="5"/>
  <c r="H27" i="5"/>
  <c r="F27" i="5"/>
  <c r="N20" i="5"/>
  <c r="F20" i="5"/>
  <c r="U19" i="5"/>
  <c r="T19" i="5"/>
  <c r="N19" i="5"/>
  <c r="I19" i="5"/>
  <c r="F19" i="5"/>
  <c r="D19" i="5"/>
  <c r="U18" i="5"/>
  <c r="R18" i="5"/>
  <c r="J18" i="5"/>
  <c r="I18" i="5"/>
  <c r="F18" i="5"/>
  <c r="U17" i="5"/>
  <c r="H17" i="5"/>
  <c r="F17" i="5"/>
  <c r="U16" i="5"/>
  <c r="K16" i="5"/>
  <c r="I16" i="5"/>
  <c r="H16" i="5"/>
  <c r="F16" i="5"/>
  <c r="N9" i="5"/>
  <c r="F9" i="5"/>
  <c r="U8" i="5"/>
  <c r="T8" i="5"/>
  <c r="P8" i="5"/>
  <c r="N8" i="5"/>
  <c r="I8" i="5"/>
  <c r="F8" i="5"/>
  <c r="D8" i="5"/>
  <c r="U7" i="5"/>
  <c r="R7" i="5"/>
  <c r="P7" i="5"/>
  <c r="J7" i="5"/>
  <c r="I7" i="5"/>
  <c r="F7" i="5"/>
  <c r="U6" i="5"/>
  <c r="S6" i="5"/>
  <c r="H6" i="5"/>
  <c r="F6" i="5"/>
  <c r="U5" i="5"/>
  <c r="K5" i="5"/>
  <c r="I5" i="5"/>
  <c r="H5" i="5"/>
  <c r="F5" i="5"/>
  <c r="U41" i="3"/>
  <c r="U40" i="3"/>
  <c r="U39" i="3"/>
  <c r="U38" i="3"/>
  <c r="R40" i="3"/>
  <c r="S39" i="3"/>
  <c r="U30" i="3"/>
  <c r="U29" i="3"/>
  <c r="U28" i="3"/>
  <c r="U27" i="3"/>
  <c r="R29" i="3"/>
  <c r="S28" i="3"/>
  <c r="U8" i="3"/>
  <c r="U19" i="3"/>
  <c r="U18" i="3"/>
  <c r="U17" i="3"/>
  <c r="U16" i="3"/>
  <c r="T19" i="3"/>
  <c r="R18" i="3"/>
  <c r="S17" i="3"/>
  <c r="N42" i="3"/>
  <c r="N41" i="3"/>
  <c r="N31" i="3"/>
  <c r="N30" i="3"/>
  <c r="N20" i="3"/>
  <c r="N19" i="3"/>
  <c r="R7" i="3"/>
  <c r="U7" i="3"/>
  <c r="N9" i="3"/>
  <c r="I5" i="3"/>
  <c r="T8" i="3"/>
  <c r="N8" i="3"/>
  <c r="AE25" i="1"/>
  <c r="I52" i="3"/>
  <c r="I41" i="3"/>
  <c r="I30" i="3"/>
  <c r="I19" i="3"/>
  <c r="I8" i="3"/>
  <c r="P8" i="3"/>
  <c r="U6" i="3"/>
  <c r="S6" i="3"/>
  <c r="U5" i="3"/>
  <c r="P7" i="3"/>
  <c r="P6" i="3"/>
  <c r="P5" i="3"/>
  <c r="I18" i="3" l="1"/>
  <c r="U5" i="4" l="1"/>
  <c r="W5" i="4" s="1"/>
  <c r="R5" i="4"/>
  <c r="M5" i="4"/>
  <c r="I49" i="3" l="1"/>
  <c r="I38" i="3"/>
  <c r="I27" i="3"/>
  <c r="I16" i="3"/>
  <c r="C54" i="3" l="1"/>
  <c r="C43" i="3"/>
  <c r="C32" i="3"/>
  <c r="C21" i="3"/>
  <c r="C10" i="3"/>
  <c r="U53" i="3"/>
  <c r="F53" i="3"/>
  <c r="F52" i="3"/>
  <c r="D52" i="3"/>
  <c r="J51" i="3"/>
  <c r="I51" i="3"/>
  <c r="F51" i="3"/>
  <c r="H50" i="3"/>
  <c r="F50" i="3"/>
  <c r="K49" i="3"/>
  <c r="H49" i="3"/>
  <c r="F49" i="3"/>
  <c r="F42" i="3"/>
  <c r="F41" i="3"/>
  <c r="D41" i="3"/>
  <c r="J40" i="3"/>
  <c r="I40" i="3"/>
  <c r="F40" i="3"/>
  <c r="H39" i="3"/>
  <c r="F39" i="3"/>
  <c r="K38" i="3"/>
  <c r="H38" i="3"/>
  <c r="F38" i="3"/>
  <c r="F31" i="3"/>
  <c r="F30" i="3"/>
  <c r="D30" i="3"/>
  <c r="J29" i="3"/>
  <c r="I29" i="3"/>
  <c r="F29" i="3"/>
  <c r="H28" i="3"/>
  <c r="F28" i="3"/>
  <c r="K27" i="3"/>
  <c r="H27" i="3"/>
  <c r="F27" i="3"/>
  <c r="F20" i="3"/>
  <c r="F19" i="3"/>
  <c r="D19" i="3"/>
  <c r="J18" i="3"/>
  <c r="F18" i="3"/>
  <c r="H17" i="3"/>
  <c r="F17" i="3"/>
  <c r="K16" i="3"/>
  <c r="H16" i="3"/>
  <c r="F16" i="3"/>
  <c r="F9" i="3"/>
  <c r="F8" i="3"/>
  <c r="D8" i="3"/>
  <c r="J7" i="3"/>
  <c r="I7" i="3"/>
  <c r="F7" i="3"/>
  <c r="H6" i="3"/>
  <c r="F6" i="3"/>
  <c r="K5" i="3"/>
  <c r="H5" i="3"/>
  <c r="F5" i="3"/>
</calcChain>
</file>

<file path=xl/sharedStrings.xml><?xml version="1.0" encoding="utf-8"?>
<sst xmlns="http://schemas.openxmlformats.org/spreadsheetml/2006/main" count="572" uniqueCount="105">
  <si>
    <t>Squat :</t>
  </si>
  <si>
    <t>Squat</t>
  </si>
  <si>
    <t>1RM</t>
  </si>
  <si>
    <t>DC :</t>
  </si>
  <si>
    <t>Consulter le fichier .pdf avant de remplir ce tableau.</t>
  </si>
  <si>
    <t>Informations de démarrage :</t>
  </si>
  <si>
    <t>Choix des exercices d'assistance :</t>
  </si>
  <si>
    <t>Sumo Pausé</t>
  </si>
  <si>
    <t>Si Traditionnel :</t>
  </si>
  <si>
    <t>Si Sumo :</t>
  </si>
  <si>
    <t>Assistance Squat :</t>
  </si>
  <si>
    <t>Assistance DC :</t>
  </si>
  <si>
    <t>Larsen Press prise moyenne</t>
  </si>
  <si>
    <t>EXERCICE</t>
  </si>
  <si>
    <t>SÉRIES</t>
  </si>
  <si>
    <t>REPS</t>
  </si>
  <si>
    <t>CHARGE</t>
  </si>
  <si>
    <t>DC</t>
  </si>
  <si>
    <t>Semaine 1</t>
  </si>
  <si>
    <t>3-4</t>
  </si>
  <si>
    <t>1</t>
  </si>
  <si>
    <t>RPE6</t>
  </si>
  <si>
    <t>Tirage Horizontal</t>
  </si>
  <si>
    <t>Superset Bras</t>
  </si>
  <si>
    <t>10-20</t>
  </si>
  <si>
    <t>Facepull</t>
  </si>
  <si>
    <t>3</t>
  </si>
  <si>
    <t>4</t>
  </si>
  <si>
    <t>2</t>
  </si>
  <si>
    <t>Tirage Horizontal uni.</t>
  </si>
  <si>
    <t>Tirage Vertical</t>
  </si>
  <si>
    <t>10</t>
  </si>
  <si>
    <t>Crunch Poulie Haute</t>
  </si>
  <si>
    <t>Semaine 2</t>
  </si>
  <si>
    <t>Semaine 3</t>
  </si>
  <si>
    <t>2-3</t>
  </si>
  <si>
    <t>70%RM</t>
  </si>
  <si>
    <t>72,5%RM</t>
  </si>
  <si>
    <t>75%RM</t>
  </si>
  <si>
    <t>Semaine 4</t>
  </si>
  <si>
    <t>80%RM</t>
  </si>
  <si>
    <t>77,5%RM</t>
  </si>
  <si>
    <t>5</t>
  </si>
  <si>
    <t>Homme</t>
  </si>
  <si>
    <t xml:space="preserve">SEXE : </t>
  </si>
  <si>
    <t xml:space="preserve">Poids de corps : </t>
  </si>
  <si>
    <t xml:space="preserve">Arrondir les poids à : </t>
  </si>
  <si>
    <t>kg près</t>
  </si>
  <si>
    <t>Semaine 5</t>
  </si>
  <si>
    <t>TEST</t>
  </si>
  <si>
    <t>2-6</t>
  </si>
  <si>
    <t>OU</t>
  </si>
  <si>
    <t>SDT</t>
  </si>
  <si>
    <t>https://www.atlascoaching.net</t>
  </si>
  <si>
    <t>Option 1 :</t>
  </si>
  <si>
    <t>Recommencer le programme avec votre nouvelle 1RM. (théorique ou testée)</t>
  </si>
  <si>
    <t>Reps</t>
  </si>
  <si>
    <t>Charge</t>
  </si>
  <si>
    <t>Option 2 :</t>
  </si>
  <si>
    <t>contact@atlascoaching.net</t>
  </si>
  <si>
    <t>SDT Pausé</t>
  </si>
  <si>
    <t>Squat Barre Haute</t>
  </si>
  <si>
    <t>e1RM</t>
  </si>
  <si>
    <t>Programme  ODYSSÉE :</t>
  </si>
  <si>
    <t>REPOS</t>
  </si>
  <si>
    <t>SEANCE 1</t>
  </si>
  <si>
    <t>SEANCE 17</t>
  </si>
  <si>
    <t>SEANCE 13</t>
  </si>
  <si>
    <t>SEANCE 9</t>
  </si>
  <si>
    <t>SEANCE 5</t>
  </si>
  <si>
    <t>SEANCE 2</t>
  </si>
  <si>
    <t>SEANCE 3</t>
  </si>
  <si>
    <t>SEANCE 4</t>
  </si>
  <si>
    <t>SEANCE 6</t>
  </si>
  <si>
    <t>SEANCE 10</t>
  </si>
  <si>
    <t>SEANCE 14</t>
  </si>
  <si>
    <t>SEANCE 18</t>
  </si>
  <si>
    <t>SEANCE 7</t>
  </si>
  <si>
    <t>SEANCE 11</t>
  </si>
  <si>
    <t>SEANCE 15</t>
  </si>
  <si>
    <t>SEANCE 19</t>
  </si>
  <si>
    <t>SEANCE 20</t>
  </si>
  <si>
    <t>SEANCE 16</t>
  </si>
  <si>
    <t>SEANCE 12</t>
  </si>
  <si>
    <t>SEANCE 8</t>
  </si>
  <si>
    <t>Problème technique spécifique DC :</t>
  </si>
  <si>
    <t>Pontage / Placement</t>
  </si>
  <si>
    <t>OHP</t>
  </si>
  <si>
    <t>10-12</t>
  </si>
  <si>
    <t>Tshirt Pause Bench</t>
  </si>
  <si>
    <t>RPE7</t>
  </si>
  <si>
    <t>RPE8</t>
  </si>
  <si>
    <t>RPE9</t>
  </si>
  <si>
    <t>R E P O S</t>
  </si>
  <si>
    <t>SDT :</t>
  </si>
  <si>
    <t>Pour conclure, merci d'avoir suivi ce programme. N'hésitez pas à m'envoyer vos retours et résultats :</t>
  </si>
  <si>
    <t>SQUAT</t>
  </si>
  <si>
    <t>(si vous avez réalisé l'AMRAP)</t>
  </si>
  <si>
    <r>
      <t xml:space="preserve">Nouvelles 1RM </t>
    </r>
    <r>
      <rPr>
        <u/>
        <sz val="11"/>
        <rFont val="Franklin Gothic Book"/>
        <family val="2"/>
      </rPr>
      <t>théoriques</t>
    </r>
    <r>
      <rPr>
        <sz val="11"/>
        <rFont val="Franklin Gothic Book"/>
        <family val="2"/>
      </rPr>
      <t xml:space="preserve"> :</t>
    </r>
  </si>
  <si>
    <t>- par mail :</t>
  </si>
  <si>
    <t>- par instagram :</t>
  </si>
  <si>
    <t>@atlas_pwr</t>
  </si>
  <si>
    <t>par exemple, le PROGRAMME ILIADE,</t>
  </si>
  <si>
    <t>Partir sur un nouveau programme ;</t>
  </si>
  <si>
    <t>Ou, pourquoi pas un suivi personnalisé, si ce programme vous a plu et que vous aimeriez aller plus loin.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</si>
</sst>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Franklin Gothic Medium"/>
      <family val="2"/>
    </font>
    <font>
      <sz val="11"/>
      <color theme="1"/>
      <name val="Franklin Gothic Book"/>
      <family val="2"/>
    </font>
    <font>
      <sz val="11"/>
      <color theme="0"/>
      <name val="Franklin Gothic Book"/>
      <family val="2"/>
    </font>
    <font>
      <b/>
      <i/>
      <sz val="14"/>
      <color theme="1"/>
      <name val="Franklin Gothic Book"/>
      <family val="2"/>
    </font>
    <font>
      <sz val="10"/>
      <color theme="1"/>
      <name val="Franklin Gothic Book"/>
      <family val="2"/>
    </font>
    <font>
      <b/>
      <sz val="14"/>
      <name val="Franklin Gothic Book"/>
      <family val="2"/>
    </font>
    <font>
      <sz val="11"/>
      <name val="Franklin Gothic Book"/>
      <family val="2"/>
    </font>
    <font>
      <sz val="12"/>
      <color theme="1"/>
      <name val="Franklin Gothic Book"/>
      <family val="2"/>
    </font>
    <font>
      <sz val="11"/>
      <color rgb="FFFFC000"/>
      <name val="Franklin Gothic Medium"/>
      <family val="2"/>
    </font>
    <font>
      <sz val="14"/>
      <color theme="1"/>
      <name val="Franklin Gothic Book"/>
      <family val="2"/>
    </font>
    <font>
      <b/>
      <i/>
      <sz val="36"/>
      <color theme="1"/>
      <name val="Franklin Gothic Book"/>
      <family val="2"/>
    </font>
    <font>
      <u/>
      <sz val="11"/>
      <name val="Franklin Gothic Book"/>
      <family val="2"/>
    </font>
    <font>
      <sz val="16"/>
      <name val="Franklin Gothic Book"/>
      <family val="2"/>
    </font>
    <font>
      <sz val="14"/>
      <name val="Franklin Gothic Book"/>
      <family val="2"/>
    </font>
    <font>
      <sz val="12"/>
      <name val="Franklin Gothic Book"/>
      <family val="2"/>
    </font>
    <font>
      <u/>
      <sz val="16"/>
      <name val="Franklin Gothic Book"/>
      <family val="2"/>
    </font>
    <font>
      <b/>
      <sz val="48"/>
      <color theme="0"/>
      <name val="Franklin Gothic Book"/>
      <family val="2"/>
    </font>
    <font>
      <b/>
      <sz val="22"/>
      <color theme="0"/>
      <name val="Franklin Gothic Book"/>
      <family val="2"/>
    </font>
    <font>
      <u/>
      <sz val="14"/>
      <name val="Franklin Gothic Book"/>
      <family val="2"/>
    </font>
    <font>
      <b/>
      <sz val="22"/>
      <name val="Franklin Gothic Book"/>
      <family val="2"/>
    </font>
    <font>
      <sz val="12"/>
      <color theme="7"/>
      <name val="Franklin Gothic Book"/>
      <family val="2"/>
    </font>
    <font>
      <b/>
      <sz val="11"/>
      <color theme="1"/>
      <name val="Franklin Gothic Book"/>
      <family val="2"/>
    </font>
    <font>
      <b/>
      <sz val="14"/>
      <color theme="0"/>
      <name val="Franklin Gothic Book"/>
      <family val="2"/>
    </font>
    <font>
      <sz val="48"/>
      <color theme="0"/>
      <name val="Franklin Gothic Book"/>
      <family val="2"/>
    </font>
    <font>
      <sz val="22"/>
      <color theme="0"/>
      <name val="Franklin Gothic Book"/>
      <family val="2"/>
    </font>
    <font>
      <b/>
      <sz val="10"/>
      <name val="Franklin Gothic Book"/>
      <family val="2"/>
    </font>
    <font>
      <sz val="16"/>
      <color theme="1"/>
      <name val="Franklin Gothic Book"/>
      <family val="2"/>
    </font>
    <font>
      <b/>
      <sz val="14"/>
      <color theme="1"/>
      <name val="Franklin Gothic Book"/>
      <family val="2"/>
    </font>
  </fonts>
  <fills count="14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EAEAEA"/>
        <bgColor rgb="FF262626"/>
      </patternFill>
    </fill>
    <fill>
      <patternFill patternType="solid">
        <fgColor rgb="FFEAEAEA"/>
        <bgColor indexed="64"/>
      </patternFill>
    </fill>
    <fill>
      <patternFill patternType="solid">
        <fgColor rgb="FFFFC000"/>
        <bgColor rgb="FF800000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rgb="FF757070"/>
      </patternFill>
    </fill>
    <fill>
      <patternFill patternType="solid">
        <fgColor theme="1"/>
        <bgColor indexed="64"/>
      </patternFill>
    </fill>
    <fill>
      <patternFill patternType="solid">
        <fgColor rgb="FFC8C6C6"/>
        <bgColor rgb="FFAEABAB"/>
      </patternFill>
    </fill>
    <fill>
      <patternFill patternType="solid">
        <fgColor rgb="FFC8C6C6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26">
    <xf numFmtId="0" fontId="0" fillId="0" borderId="0" xfId="0"/>
    <xf numFmtId="0" fontId="0" fillId="2" borderId="0" xfId="0" applyFill="1"/>
    <xf numFmtId="0" fontId="0" fillId="6" borderId="0" xfId="0" applyFill="1"/>
    <xf numFmtId="0" fontId="0" fillId="7" borderId="0" xfId="0" applyFill="1"/>
    <xf numFmtId="0" fontId="2" fillId="11" borderId="1" xfId="0" applyFont="1" applyFill="1" applyBorder="1" applyAlignment="1">
      <alignment horizontal="center" vertical="center"/>
    </xf>
    <xf numFmtId="0" fontId="2" fillId="11" borderId="0" xfId="0" applyFont="1" applyFill="1" applyAlignment="1">
      <alignment horizontal="center" vertical="center"/>
    </xf>
    <xf numFmtId="0" fontId="3" fillId="7" borderId="0" xfId="0" applyFont="1" applyFill="1"/>
    <xf numFmtId="0" fontId="3" fillId="9" borderId="1" xfId="0" applyFont="1" applyFill="1" applyBorder="1"/>
    <xf numFmtId="0" fontId="5" fillId="10" borderId="19" xfId="0" applyFont="1" applyFill="1" applyBorder="1" applyAlignment="1">
      <alignment horizontal="center" vertical="center" textRotation="255"/>
    </xf>
    <xf numFmtId="0" fontId="6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5" fillId="10" borderId="20" xfId="0" applyFont="1" applyFill="1" applyBorder="1" applyAlignment="1">
      <alignment horizontal="center" vertical="center" textRotation="255"/>
    </xf>
    <xf numFmtId="0" fontId="4" fillId="7" borderId="0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9" fontId="3" fillId="3" borderId="0" xfId="0" applyNumberFormat="1" applyFont="1" applyFill="1" applyAlignment="1">
      <alignment horizontal="center" vertical="center"/>
    </xf>
    <xf numFmtId="9" fontId="3" fillId="7" borderId="2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9" borderId="4" xfId="0" applyFont="1" applyFill="1" applyBorder="1"/>
    <xf numFmtId="0" fontId="3" fillId="3" borderId="4" xfId="0" applyFont="1" applyFill="1" applyBorder="1" applyAlignment="1">
      <alignment horizontal="center" vertical="center"/>
    </xf>
    <xf numFmtId="49" fontId="3" fillId="3" borderId="3" xfId="0" quotePrefix="1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5" fillId="10" borderId="21" xfId="0" applyFont="1" applyFill="1" applyBorder="1" applyAlignment="1">
      <alignment horizontal="center" vertical="center" textRotation="255"/>
    </xf>
    <xf numFmtId="0" fontId="3" fillId="7" borderId="5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9" fontId="3" fillId="3" borderId="0" xfId="0" applyNumberFormat="1" applyFont="1" applyFill="1" applyBorder="1" applyAlignment="1">
      <alignment horizontal="center" vertical="center"/>
    </xf>
    <xf numFmtId="0" fontId="3" fillId="2" borderId="0" xfId="0" applyFont="1" applyFill="1"/>
    <xf numFmtId="0" fontId="3" fillId="2" borderId="0" xfId="0" applyFont="1" applyFill="1" applyBorder="1"/>
    <xf numFmtId="0" fontId="3" fillId="0" borderId="0" xfId="0" applyFont="1"/>
    <xf numFmtId="0" fontId="3" fillId="13" borderId="22" xfId="0" applyFont="1" applyFill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49" fontId="3" fillId="13" borderId="3" xfId="0" applyNumberFormat="1" applyFont="1" applyFill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9" fontId="3" fillId="13" borderId="0" xfId="0" applyNumberFormat="1" applyFont="1" applyFill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13" borderId="7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/>
    </xf>
    <xf numFmtId="0" fontId="3" fillId="9" borderId="17" xfId="0" applyFont="1" applyFill="1" applyBorder="1"/>
    <xf numFmtId="0" fontId="10" fillId="5" borderId="0" xfId="0" applyFont="1" applyFill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49" fontId="3" fillId="13" borderId="0" xfId="0" applyNumberFormat="1" applyFont="1" applyFill="1" applyBorder="1" applyAlignment="1">
      <alignment horizontal="center" vertical="center"/>
    </xf>
    <xf numFmtId="49" fontId="3" fillId="13" borderId="0" xfId="0" quotePrefix="1" applyNumberFormat="1" applyFont="1" applyFill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12" fillId="13" borderId="24" xfId="0" applyFont="1" applyFill="1" applyBorder="1" applyAlignment="1">
      <alignment horizontal="center" vertical="center"/>
    </xf>
    <xf numFmtId="0" fontId="12" fillId="13" borderId="0" xfId="0" applyFont="1" applyFill="1" applyBorder="1" applyAlignment="1">
      <alignment horizontal="center" vertical="center"/>
    </xf>
    <xf numFmtId="0" fontId="12" fillId="13" borderId="7" xfId="0" applyFont="1" applyFill="1" applyBorder="1" applyAlignment="1">
      <alignment horizontal="center" vertical="center"/>
    </xf>
    <xf numFmtId="0" fontId="12" fillId="13" borderId="22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12" fillId="13" borderId="6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/>
    </xf>
    <xf numFmtId="0" fontId="7" fillId="7" borderId="7" xfId="0" applyFont="1" applyFill="1" applyBorder="1" applyAlignment="1">
      <alignment horizontal="center" vertical="center"/>
    </xf>
    <xf numFmtId="0" fontId="8" fillId="7" borderId="0" xfId="0" applyFont="1" applyFill="1"/>
    <xf numFmtId="0" fontId="14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9" borderId="8" xfId="0" applyFont="1" applyFill="1" applyBorder="1"/>
    <xf numFmtId="0" fontId="8" fillId="9" borderId="5" xfId="0" applyFont="1" applyFill="1" applyBorder="1"/>
    <xf numFmtId="0" fontId="15" fillId="7" borderId="0" xfId="0" applyFont="1" applyFill="1" applyAlignment="1">
      <alignment horizontal="center"/>
    </xf>
    <xf numFmtId="0" fontId="15" fillId="7" borderId="0" xfId="0" applyFont="1" applyFill="1" applyAlignment="1">
      <alignment horizontal="center"/>
    </xf>
    <xf numFmtId="0" fontId="16" fillId="7" borderId="0" xfId="0" applyFont="1" applyFill="1"/>
    <xf numFmtId="0" fontId="17" fillId="7" borderId="0" xfId="1" applyFont="1" applyFill="1" applyAlignment="1">
      <alignment horizontal="center" vertical="center"/>
    </xf>
    <xf numFmtId="0" fontId="18" fillId="7" borderId="0" xfId="0" applyFont="1" applyFill="1" applyAlignment="1">
      <alignment vertical="center"/>
    </xf>
    <xf numFmtId="0" fontId="8" fillId="7" borderId="0" xfId="0" quotePrefix="1" applyFont="1" applyFill="1" applyAlignment="1"/>
    <xf numFmtId="0" fontId="19" fillId="7" borderId="0" xfId="0" applyFont="1" applyFill="1" applyAlignment="1">
      <alignment horizontal="center"/>
    </xf>
    <xf numFmtId="0" fontId="8" fillId="7" borderId="0" xfId="0" quotePrefix="1" applyFont="1" applyFill="1" applyAlignment="1">
      <alignment vertical="center"/>
    </xf>
    <xf numFmtId="0" fontId="20" fillId="7" borderId="0" xfId="1" quotePrefix="1" applyFont="1" applyFill="1" applyAlignment="1">
      <alignment horizontal="center" vertical="center"/>
    </xf>
    <xf numFmtId="0" fontId="20" fillId="7" borderId="0" xfId="1" quotePrefix="1" applyFont="1" applyFill="1" applyAlignment="1">
      <alignment horizontal="center"/>
    </xf>
    <xf numFmtId="0" fontId="8" fillId="3" borderId="13" xfId="0" applyFon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3" fillId="6" borderId="0" xfId="0" applyFont="1" applyFill="1"/>
    <xf numFmtId="0" fontId="21" fillId="7" borderId="0" xfId="0" applyFont="1" applyFill="1" applyAlignment="1">
      <alignment horizontal="center" vertical="center"/>
    </xf>
    <xf numFmtId="0" fontId="4" fillId="7" borderId="0" xfId="0" applyFont="1" applyFill="1"/>
    <xf numFmtId="0" fontId="22" fillId="8" borderId="11" xfId="0" applyFont="1" applyFill="1" applyBorder="1"/>
    <xf numFmtId="0" fontId="23" fillId="4" borderId="14" xfId="0" applyFont="1" applyFill="1" applyBorder="1" applyAlignment="1">
      <alignment horizontal="center" vertical="center"/>
    </xf>
    <xf numFmtId="0" fontId="23" fillId="4" borderId="15" xfId="0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8" xfId="0" applyFont="1" applyFill="1" applyBorder="1" applyAlignment="1" applyProtection="1">
      <alignment horizontal="center" vertical="center"/>
      <protection locked="0"/>
    </xf>
    <xf numFmtId="0" fontId="24" fillId="9" borderId="11" xfId="0" applyFont="1" applyFill="1" applyBorder="1" applyAlignment="1">
      <alignment horizontal="right" vertical="center"/>
    </xf>
    <xf numFmtId="0" fontId="22" fillId="8" borderId="8" xfId="0" applyFont="1" applyFill="1" applyBorder="1"/>
    <xf numFmtId="0" fontId="11" fillId="4" borderId="0" xfId="0" applyFont="1" applyFill="1" applyBorder="1" applyAlignment="1">
      <alignment horizontal="center" vertical="center"/>
    </xf>
    <xf numFmtId="0" fontId="11" fillId="4" borderId="2" xfId="0" applyFont="1" applyFill="1" applyBorder="1" applyAlignment="1" applyProtection="1">
      <alignment horizontal="center" vertical="center"/>
      <protection locked="0"/>
    </xf>
    <xf numFmtId="0" fontId="22" fillId="8" borderId="5" xfId="0" applyFont="1" applyFill="1" applyBorder="1"/>
    <xf numFmtId="0" fontId="11" fillId="4" borderId="3" xfId="0" applyFont="1" applyFill="1" applyBorder="1" applyAlignment="1">
      <alignment horizontal="center" vertical="center"/>
    </xf>
    <xf numFmtId="0" fontId="11" fillId="4" borderId="5" xfId="0" applyFont="1" applyFill="1" applyBorder="1" applyAlignment="1" applyProtection="1">
      <alignment horizontal="center" vertical="center"/>
      <protection locked="0"/>
    </xf>
    <xf numFmtId="0" fontId="8" fillId="7" borderId="0" xfId="0" applyFont="1" applyFill="1" applyAlignment="1">
      <alignment horizontal="center" vertical="center"/>
    </xf>
    <xf numFmtId="0" fontId="25" fillId="7" borderId="0" xfId="0" applyFont="1" applyFill="1"/>
    <xf numFmtId="0" fontId="9" fillId="4" borderId="14" xfId="0" applyFont="1" applyFill="1" applyBorder="1" applyAlignment="1" applyProtection="1">
      <alignment horizontal="center" vertical="center"/>
      <protection locked="0"/>
    </xf>
    <xf numFmtId="0" fontId="9" fillId="4" borderId="15" xfId="0" applyFont="1" applyFill="1" applyBorder="1" applyAlignment="1" applyProtection="1">
      <alignment horizontal="center" vertical="center"/>
      <protection locked="0"/>
    </xf>
    <xf numFmtId="0" fontId="9" fillId="4" borderId="16" xfId="0" applyFont="1" applyFill="1" applyBorder="1" applyAlignment="1" applyProtection="1">
      <alignment horizontal="center" vertical="center"/>
      <protection locked="0"/>
    </xf>
    <xf numFmtId="0" fontId="26" fillId="7" borderId="0" xfId="0" applyFont="1" applyFill="1" applyAlignment="1">
      <alignment horizontal="center"/>
    </xf>
    <xf numFmtId="0" fontId="7" fillId="7" borderId="0" xfId="0" applyFont="1" applyFill="1" applyAlignment="1">
      <alignment horizontal="right" vertical="center"/>
    </xf>
    <xf numFmtId="0" fontId="11" fillId="4" borderId="11" xfId="0" applyFont="1" applyFill="1" applyBorder="1" applyAlignment="1" applyProtection="1">
      <alignment horizontal="center" vertical="center"/>
      <protection locked="0"/>
    </xf>
    <xf numFmtId="0" fontId="27" fillId="7" borderId="0" xfId="0" applyFont="1" applyFill="1" applyAlignment="1">
      <alignment horizontal="right" vertical="center"/>
    </xf>
    <xf numFmtId="164" fontId="11" fillId="4" borderId="11" xfId="0" applyNumberFormat="1" applyFont="1" applyFill="1" applyBorder="1" applyAlignment="1" applyProtection="1">
      <alignment horizontal="center" vertical="center"/>
      <protection locked="0"/>
    </xf>
    <xf numFmtId="0" fontId="8" fillId="7" borderId="0" xfId="0" applyFont="1" applyFill="1" applyAlignment="1">
      <alignment horizontal="right" vertical="center"/>
    </xf>
    <xf numFmtId="164" fontId="28" fillId="4" borderId="11" xfId="0" applyNumberFormat="1" applyFont="1" applyFill="1" applyBorder="1" applyAlignment="1" applyProtection="1">
      <alignment horizontal="center" vertical="center"/>
      <protection locked="0"/>
    </xf>
    <xf numFmtId="0" fontId="8" fillId="7" borderId="0" xfId="0" applyFont="1" applyFill="1" applyAlignment="1">
      <alignment horizontal="left" vertical="center"/>
    </xf>
    <xf numFmtId="0" fontId="8" fillId="7" borderId="7" xfId="0" applyFont="1" applyFill="1" applyBorder="1" applyAlignment="1">
      <alignment horizontal="right" vertical="center"/>
    </xf>
    <xf numFmtId="0" fontId="29" fillId="4" borderId="14" xfId="0" applyFont="1" applyFill="1" applyBorder="1" applyAlignment="1">
      <alignment horizontal="center" vertical="center"/>
    </xf>
    <xf numFmtId="0" fontId="29" fillId="4" borderId="15" xfId="0" applyFont="1" applyFill="1" applyBorder="1" applyAlignment="1">
      <alignment horizontal="center" vertical="center"/>
    </xf>
    <xf numFmtId="0" fontId="29" fillId="4" borderId="16" xfId="0" applyFont="1" applyFill="1" applyBorder="1" applyAlignment="1">
      <alignment horizontal="center" vertical="center"/>
    </xf>
    <xf numFmtId="0" fontId="17" fillId="7" borderId="0" xfId="1" applyFont="1" applyFill="1" applyAlignment="1">
      <alignment vertical="center"/>
    </xf>
    <xf numFmtId="0" fontId="20" fillId="7" borderId="0" xfId="1" applyFont="1" applyFill="1" applyAlignment="1">
      <alignment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FC000"/>
      <color rgb="FFC8C6C6"/>
      <color rgb="FFEAEAEA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3</xdr:row>
      <xdr:rowOff>95249</xdr:rowOff>
    </xdr:from>
    <xdr:to>
      <xdr:col>5</xdr:col>
      <xdr:colOff>323849</xdr:colOff>
      <xdr:row>16</xdr:row>
      <xdr:rowOff>235926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666749"/>
          <a:ext cx="2790825" cy="27886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1</xdr:row>
      <xdr:rowOff>190500</xdr:rowOff>
    </xdr:from>
    <xdr:to>
      <xdr:col>0</xdr:col>
      <xdr:colOff>1390650</xdr:colOff>
      <xdr:row>7</xdr:row>
      <xdr:rowOff>180976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333375"/>
          <a:ext cx="1171576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171450</xdr:rowOff>
    </xdr:from>
    <xdr:to>
      <xdr:col>0</xdr:col>
      <xdr:colOff>1362076</xdr:colOff>
      <xdr:row>18</xdr:row>
      <xdr:rowOff>161926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F0930BF-0C54-458C-8983-1E3D8EC0D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19350"/>
          <a:ext cx="1171576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23</xdr:row>
      <xdr:rowOff>161925</xdr:rowOff>
    </xdr:from>
    <xdr:to>
      <xdr:col>0</xdr:col>
      <xdr:colOff>1371601</xdr:colOff>
      <xdr:row>29</xdr:row>
      <xdr:rowOff>152401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5FC359D-A5DF-46E7-B31C-7B150AC53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505325"/>
          <a:ext cx="1171576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34</xdr:row>
      <xdr:rowOff>152400</xdr:rowOff>
    </xdr:from>
    <xdr:to>
      <xdr:col>0</xdr:col>
      <xdr:colOff>1381126</xdr:colOff>
      <xdr:row>40</xdr:row>
      <xdr:rowOff>142876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209A568-670E-4615-87B9-56838FF84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591300"/>
          <a:ext cx="1171576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45</xdr:row>
      <xdr:rowOff>180975</xdr:rowOff>
    </xdr:from>
    <xdr:to>
      <xdr:col>0</xdr:col>
      <xdr:colOff>1362076</xdr:colOff>
      <xdr:row>51</xdr:row>
      <xdr:rowOff>171451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9CE6712-584F-4E5C-BE90-F429B8A8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715375"/>
          <a:ext cx="1171576" cy="1171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1</xdr:row>
      <xdr:rowOff>190500</xdr:rowOff>
    </xdr:from>
    <xdr:to>
      <xdr:col>0</xdr:col>
      <xdr:colOff>1390650</xdr:colOff>
      <xdr:row>7</xdr:row>
      <xdr:rowOff>180976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639FCD8-5351-4920-802A-268EF5128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333375"/>
          <a:ext cx="1171576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171450</xdr:rowOff>
    </xdr:from>
    <xdr:to>
      <xdr:col>0</xdr:col>
      <xdr:colOff>1362076</xdr:colOff>
      <xdr:row>18</xdr:row>
      <xdr:rowOff>161926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E7C9303-8466-45CF-B7F0-846B1E5AD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19350"/>
          <a:ext cx="1171576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23</xdr:row>
      <xdr:rowOff>161925</xdr:rowOff>
    </xdr:from>
    <xdr:to>
      <xdr:col>0</xdr:col>
      <xdr:colOff>1371601</xdr:colOff>
      <xdr:row>29</xdr:row>
      <xdr:rowOff>152401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DE41D4F-5D30-4E4F-9EF6-F442FCAD0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505325"/>
          <a:ext cx="1171576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34</xdr:row>
      <xdr:rowOff>152400</xdr:rowOff>
    </xdr:from>
    <xdr:to>
      <xdr:col>0</xdr:col>
      <xdr:colOff>1381126</xdr:colOff>
      <xdr:row>40</xdr:row>
      <xdr:rowOff>142876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46184CC-3240-4D11-82CF-329FE635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591300"/>
          <a:ext cx="1171576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45</xdr:row>
      <xdr:rowOff>180975</xdr:rowOff>
    </xdr:from>
    <xdr:to>
      <xdr:col>0</xdr:col>
      <xdr:colOff>1362076</xdr:colOff>
      <xdr:row>51</xdr:row>
      <xdr:rowOff>171451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5B1DE81-A58C-4C9D-808C-AA52D0DD1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715375"/>
          <a:ext cx="1171576" cy="11715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171449</xdr:rowOff>
    </xdr:from>
    <xdr:to>
      <xdr:col>5</xdr:col>
      <xdr:colOff>219075</xdr:colOff>
      <xdr:row>16</xdr:row>
      <xdr:rowOff>63211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71449"/>
          <a:ext cx="3286125" cy="3286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tlascoaching.ne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tlascoaching.net/" TargetMode="External"/><Relationship Id="rId2" Type="http://schemas.openxmlformats.org/officeDocument/2006/relationships/hyperlink" Target="https://www.instagram.com/atlas_pwr" TargetMode="External"/><Relationship Id="rId1" Type="http://schemas.openxmlformats.org/officeDocument/2006/relationships/hyperlink" Target="mailto:contact@atlascoaching.net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23"/>
  <sheetViews>
    <sheetView showGridLines="0" zoomScaleNormal="100" workbookViewId="0">
      <selection activeCell="Y33" sqref="Y33"/>
    </sheetView>
  </sheetViews>
  <sheetFormatPr baseColWidth="10" defaultColWidth="0" defaultRowHeight="15.75" zeroHeight="1" x14ac:dyDescent="0.3"/>
  <cols>
    <col min="1" max="1" width="7.140625" style="38" customWidth="1"/>
    <col min="2" max="2" width="6" style="38" customWidth="1"/>
    <col min="3" max="4" width="9.140625" style="38" customWidth="1"/>
    <col min="5" max="5" width="7.7109375" style="38" customWidth="1"/>
    <col min="6" max="6" width="8" style="38" customWidth="1"/>
    <col min="7" max="7" width="0.5703125" style="38" customWidth="1"/>
    <col min="8" max="8" width="9.140625" style="38" customWidth="1"/>
    <col min="9" max="9" width="0.5703125" style="38" customWidth="1"/>
    <col min="10" max="10" width="9.140625" style="38" customWidth="1"/>
    <col min="11" max="11" width="0.5703125" style="38" customWidth="1"/>
    <col min="12" max="12" width="12.85546875" style="38" customWidth="1"/>
    <col min="13" max="13" width="0.5703125" style="38" customWidth="1"/>
    <col min="14" max="14" width="11" style="38" customWidth="1"/>
    <col min="15" max="15" width="7.42578125" style="38" customWidth="1"/>
    <col min="16" max="16" width="8" style="38" customWidth="1"/>
    <col min="17" max="17" width="0.5703125" style="38" customWidth="1"/>
    <col min="18" max="21" width="9.140625" style="38" customWidth="1"/>
    <col min="22" max="22" width="0.5703125" style="38" customWidth="1"/>
    <col min="23" max="28" width="9.140625" style="38" customWidth="1"/>
    <col min="29" max="36" width="9.140625" customWidth="1"/>
    <col min="37" max="16384" width="9.140625" hidden="1"/>
  </cols>
  <sheetData>
    <row r="1" spans="1:36" x14ac:dyDescent="0.3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88"/>
      <c r="AB1" s="88"/>
      <c r="AC1" s="2"/>
      <c r="AD1" s="2"/>
      <c r="AE1" s="2"/>
      <c r="AF1" s="2"/>
      <c r="AG1" s="2"/>
      <c r="AH1" s="2"/>
      <c r="AI1" s="2"/>
      <c r="AJ1" s="2"/>
    </row>
    <row r="2" spans="1:36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88"/>
      <c r="AB2" s="88"/>
      <c r="AC2" s="2"/>
      <c r="AD2" s="2"/>
      <c r="AE2" s="2"/>
      <c r="AF2" s="2"/>
      <c r="AG2" s="2"/>
      <c r="AH2" s="2"/>
      <c r="AI2" s="2"/>
      <c r="AJ2" s="2"/>
    </row>
    <row r="3" spans="1:36" x14ac:dyDescent="0.3">
      <c r="A3" s="6"/>
      <c r="B3" s="6"/>
      <c r="C3" s="6"/>
      <c r="D3" s="6"/>
      <c r="E3" s="6"/>
      <c r="F3" s="6"/>
      <c r="G3" s="6"/>
      <c r="H3" s="6"/>
      <c r="I3" s="6"/>
      <c r="J3" s="89" t="s">
        <v>63</v>
      </c>
      <c r="K3" s="89"/>
      <c r="L3" s="89"/>
      <c r="M3" s="89"/>
      <c r="N3" s="89"/>
      <c r="O3" s="89"/>
      <c r="P3" s="89"/>
      <c r="Q3" s="89"/>
      <c r="R3" s="89"/>
      <c r="S3" s="89"/>
      <c r="T3" s="6"/>
      <c r="U3" s="6"/>
      <c r="V3" s="6"/>
      <c r="W3" s="6"/>
      <c r="X3" s="6"/>
      <c r="Y3" s="6"/>
      <c r="Z3" s="6"/>
      <c r="AA3" s="88"/>
      <c r="AB3" s="88"/>
      <c r="AC3" s="2"/>
      <c r="AD3" s="2"/>
      <c r="AE3" s="2"/>
      <c r="AF3" s="2"/>
      <c r="AG3" s="2"/>
      <c r="AH3" s="2"/>
      <c r="AI3" s="2"/>
      <c r="AJ3" s="2"/>
    </row>
    <row r="4" spans="1:36" x14ac:dyDescent="0.3">
      <c r="A4" s="6"/>
      <c r="B4" s="6"/>
      <c r="C4" s="6"/>
      <c r="D4" s="6"/>
      <c r="E4" s="6"/>
      <c r="F4" s="6"/>
      <c r="G4" s="6"/>
      <c r="H4" s="6"/>
      <c r="I4" s="6"/>
      <c r="J4" s="89"/>
      <c r="K4" s="89"/>
      <c r="L4" s="89"/>
      <c r="M4" s="89"/>
      <c r="N4" s="89"/>
      <c r="O4" s="89"/>
      <c r="P4" s="89"/>
      <c r="Q4" s="89"/>
      <c r="R4" s="89"/>
      <c r="S4" s="89"/>
      <c r="T4" s="6"/>
      <c r="U4" s="6"/>
      <c r="V4" s="6"/>
      <c r="W4" s="6"/>
      <c r="X4" s="6"/>
      <c r="Y4" s="6"/>
      <c r="Z4" s="6"/>
      <c r="AA4" s="88"/>
      <c r="AB4" s="88"/>
      <c r="AC4" s="2"/>
      <c r="AD4" s="2"/>
      <c r="AE4" s="2"/>
      <c r="AF4" s="2"/>
      <c r="AG4" s="2"/>
      <c r="AH4" s="2"/>
      <c r="AI4" s="2"/>
      <c r="AJ4" s="2"/>
    </row>
    <row r="5" spans="1:36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88"/>
      <c r="AB5" s="88"/>
      <c r="AC5" s="2"/>
      <c r="AD5" s="2"/>
      <c r="AE5" s="2"/>
      <c r="AF5" s="2"/>
      <c r="AG5" s="2"/>
      <c r="AH5" s="2"/>
      <c r="AI5" s="2"/>
      <c r="AJ5" s="2"/>
    </row>
    <row r="6" spans="1:36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88"/>
      <c r="AB6" s="88"/>
      <c r="AC6" s="2"/>
      <c r="AD6" s="2"/>
      <c r="AE6" s="2"/>
      <c r="AF6" s="2"/>
      <c r="AG6" s="2"/>
      <c r="AH6" s="2"/>
      <c r="AI6" s="2"/>
      <c r="AJ6" s="2"/>
    </row>
    <row r="7" spans="1:36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8" t="s">
        <v>4</v>
      </c>
      <c r="M7" s="90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88"/>
      <c r="AB7" s="88"/>
      <c r="AC7" s="2"/>
      <c r="AD7" s="2"/>
      <c r="AE7" s="2"/>
      <c r="AF7" s="2"/>
      <c r="AG7" s="2"/>
      <c r="AH7" s="2"/>
      <c r="AI7" s="2"/>
      <c r="AJ7" s="2"/>
    </row>
    <row r="8" spans="1:36" ht="13.5" customHeight="1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88"/>
      <c r="AB8" s="88"/>
      <c r="AC8" s="2"/>
      <c r="AD8" s="2"/>
      <c r="AE8" s="2"/>
      <c r="AF8" s="2"/>
      <c r="AG8" s="2"/>
      <c r="AH8" s="2"/>
      <c r="AI8" s="2"/>
      <c r="AJ8" s="2"/>
    </row>
    <row r="9" spans="1:36" ht="6.75" customHeigh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88"/>
      <c r="AB9" s="88"/>
      <c r="AC9" s="2"/>
      <c r="AD9" s="2"/>
      <c r="AE9" s="2"/>
      <c r="AF9" s="2"/>
      <c r="AG9" s="2"/>
      <c r="AH9" s="2"/>
      <c r="AI9" s="2"/>
      <c r="AJ9" s="2"/>
    </row>
    <row r="10" spans="1:36" ht="12" customHeight="1" x14ac:dyDescent="0.3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88"/>
      <c r="AB10" s="88"/>
      <c r="AC10" s="2"/>
      <c r="AD10" s="2"/>
      <c r="AE10" s="2"/>
      <c r="AF10" s="2"/>
      <c r="AG10" s="2"/>
      <c r="AH10" s="2"/>
      <c r="AI10" s="2"/>
      <c r="AJ10" s="2"/>
    </row>
    <row r="11" spans="1:36" ht="19.5" customHeight="1" x14ac:dyDescent="0.3">
      <c r="A11" s="6"/>
      <c r="B11" s="6"/>
      <c r="C11" s="6"/>
      <c r="D11" s="6"/>
      <c r="E11" s="6"/>
      <c r="F11" s="6"/>
      <c r="G11" s="91"/>
      <c r="H11" s="121" t="s">
        <v>5</v>
      </c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3"/>
      <c r="AA11" s="88"/>
      <c r="AB11" s="88"/>
      <c r="AC11" s="2"/>
      <c r="AD11" s="2"/>
      <c r="AE11" s="2"/>
      <c r="AF11" s="2"/>
      <c r="AG11" s="2"/>
      <c r="AH11" s="2"/>
      <c r="AI11" s="2"/>
      <c r="AJ11" s="2"/>
    </row>
    <row r="12" spans="1:36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88"/>
      <c r="AA12" s="88"/>
      <c r="AB12" s="88"/>
      <c r="AC12" s="2"/>
      <c r="AD12" s="2"/>
      <c r="AE12" s="2"/>
      <c r="AF12" s="2"/>
      <c r="AG12" s="2"/>
      <c r="AH12" s="2"/>
      <c r="AI12" s="2"/>
      <c r="AJ12" s="2"/>
    </row>
    <row r="13" spans="1:36" ht="19.5" x14ac:dyDescent="0.3">
      <c r="A13" s="6"/>
      <c r="B13" s="6"/>
      <c r="C13" s="6"/>
      <c r="D13" s="6"/>
      <c r="E13" s="6"/>
      <c r="F13" s="6"/>
      <c r="G13" s="6"/>
      <c r="H13" s="6"/>
      <c r="I13" s="91"/>
      <c r="J13" s="95" t="s">
        <v>2</v>
      </c>
      <c r="K13" s="96"/>
      <c r="L13" s="97" t="s">
        <v>0</v>
      </c>
      <c r="M13" s="98"/>
      <c r="N13" s="99">
        <v>225</v>
      </c>
      <c r="O13" s="6"/>
      <c r="P13" s="6"/>
      <c r="Q13" s="100"/>
      <c r="R13" s="92" t="s">
        <v>6</v>
      </c>
      <c r="S13" s="93"/>
      <c r="T13" s="93"/>
      <c r="U13" s="93"/>
      <c r="V13" s="93"/>
      <c r="W13" s="93"/>
      <c r="X13" s="93"/>
      <c r="Y13" s="94"/>
      <c r="Z13" s="88"/>
      <c r="AA13" s="88"/>
      <c r="AB13" s="88"/>
      <c r="AC13" s="2"/>
      <c r="AD13" s="2"/>
      <c r="AE13" s="2"/>
      <c r="AF13" s="2"/>
      <c r="AG13" s="2"/>
      <c r="AH13" s="2"/>
      <c r="AI13" s="2"/>
      <c r="AJ13" s="2"/>
    </row>
    <row r="14" spans="1:36" ht="19.5" customHeight="1" x14ac:dyDescent="0.3">
      <c r="A14" s="6"/>
      <c r="B14" s="6"/>
      <c r="C14" s="6"/>
      <c r="D14" s="6"/>
      <c r="E14" s="6"/>
      <c r="F14" s="6"/>
      <c r="G14" s="6"/>
      <c r="H14" s="6"/>
      <c r="I14" s="6"/>
      <c r="J14" s="6"/>
      <c r="K14" s="101"/>
      <c r="L14" s="102" t="s">
        <v>3</v>
      </c>
      <c r="M14" s="102"/>
      <c r="N14" s="103">
        <v>150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88"/>
      <c r="AA14" s="88"/>
      <c r="AB14" s="88"/>
      <c r="AC14" s="2"/>
      <c r="AD14" s="2"/>
      <c r="AE14" s="2"/>
      <c r="AF14" s="2"/>
      <c r="AG14" s="2"/>
      <c r="AH14" s="2"/>
      <c r="AI14" s="2"/>
      <c r="AJ14" s="2"/>
    </row>
    <row r="15" spans="1:36" ht="19.5" x14ac:dyDescent="0.3">
      <c r="A15" s="6"/>
      <c r="B15" s="6"/>
      <c r="C15" s="6"/>
      <c r="D15" s="6"/>
      <c r="E15" s="6"/>
      <c r="F15" s="6"/>
      <c r="G15" s="6"/>
      <c r="H15" s="6"/>
      <c r="I15" s="6"/>
      <c r="J15" s="6"/>
      <c r="K15" s="104"/>
      <c r="L15" s="105" t="s">
        <v>94</v>
      </c>
      <c r="M15" s="105"/>
      <c r="N15" s="106">
        <v>290</v>
      </c>
      <c r="O15" s="6"/>
      <c r="P15" s="6"/>
      <c r="Q15" s="6"/>
      <c r="R15" s="107" t="s">
        <v>8</v>
      </c>
      <c r="S15" s="107"/>
      <c r="T15" s="107"/>
      <c r="U15" s="6"/>
      <c r="V15" s="6"/>
      <c r="W15" s="107" t="s">
        <v>9</v>
      </c>
      <c r="X15" s="107"/>
      <c r="Y15" s="107"/>
      <c r="Z15" s="88"/>
      <c r="AA15" s="88"/>
      <c r="AB15" s="88"/>
      <c r="AC15" s="2"/>
      <c r="AD15" s="2"/>
      <c r="AE15" s="2"/>
      <c r="AF15" s="2"/>
      <c r="AG15" s="2"/>
      <c r="AH15" s="2"/>
      <c r="AI15" s="2"/>
      <c r="AJ15" s="2"/>
    </row>
    <row r="16" spans="1:36" ht="19.5" customHeight="1" x14ac:dyDescent="1.05">
      <c r="A16" s="6"/>
      <c r="B16" s="108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100"/>
      <c r="R16" s="109" t="s">
        <v>60</v>
      </c>
      <c r="S16" s="110"/>
      <c r="T16" s="111"/>
      <c r="U16" s="6"/>
      <c r="V16" s="100"/>
      <c r="W16" s="109" t="s">
        <v>7</v>
      </c>
      <c r="X16" s="110"/>
      <c r="Y16" s="111"/>
      <c r="Z16" s="88"/>
      <c r="AA16" s="88"/>
      <c r="AB16" s="88"/>
      <c r="AC16" s="2"/>
      <c r="AD16" s="2"/>
      <c r="AE16" s="2"/>
      <c r="AF16" s="2"/>
      <c r="AG16" s="2"/>
      <c r="AH16" s="2"/>
      <c r="AI16" s="2"/>
      <c r="AJ16" s="2"/>
    </row>
    <row r="17" spans="1:36" ht="19.5" customHeight="1" x14ac:dyDescent="1.05">
      <c r="A17" s="6"/>
      <c r="B17" s="108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2"/>
      <c r="AD17" s="2"/>
      <c r="AE17" s="2"/>
      <c r="AF17" s="2"/>
      <c r="AG17" s="2"/>
      <c r="AH17" s="2"/>
      <c r="AI17" s="2"/>
      <c r="AJ17" s="2"/>
    </row>
    <row r="18" spans="1:36" ht="19.5" customHeight="1" x14ac:dyDescent="0.5">
      <c r="A18" s="6"/>
      <c r="B18" s="112"/>
      <c r="C18" s="112"/>
      <c r="D18" s="112"/>
      <c r="E18" s="112"/>
      <c r="F18" s="6"/>
      <c r="G18" s="6"/>
      <c r="H18" s="6"/>
      <c r="I18" s="6"/>
      <c r="J18" s="113" t="s">
        <v>44</v>
      </c>
      <c r="K18" s="113"/>
      <c r="L18" s="113"/>
      <c r="M18" s="100"/>
      <c r="N18" s="114" t="s">
        <v>43</v>
      </c>
      <c r="O18" s="6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2"/>
      <c r="AD18" s="2"/>
      <c r="AE18" s="2"/>
      <c r="AF18" s="2"/>
      <c r="AG18" s="2"/>
      <c r="AH18" s="2"/>
      <c r="AI18" s="2"/>
      <c r="AJ18" s="2"/>
    </row>
    <row r="19" spans="1:36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2"/>
      <c r="AD19" s="2"/>
      <c r="AE19" s="2"/>
      <c r="AF19" s="2"/>
      <c r="AG19" s="2"/>
      <c r="AH19" s="2"/>
      <c r="AI19" s="2"/>
      <c r="AJ19" s="2"/>
    </row>
    <row r="20" spans="1:36" ht="19.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115" t="s">
        <v>45</v>
      </c>
      <c r="K20" s="115"/>
      <c r="L20" s="115"/>
      <c r="M20" s="100"/>
      <c r="N20" s="116">
        <v>82</v>
      </c>
      <c r="O20" s="6"/>
      <c r="P20" s="6"/>
      <c r="Q20" s="6"/>
      <c r="R20" s="117" t="s">
        <v>10</v>
      </c>
      <c r="S20" s="117"/>
      <c r="T20" s="117"/>
      <c r="U20" s="117"/>
      <c r="V20" s="100"/>
      <c r="W20" s="109" t="s">
        <v>61</v>
      </c>
      <c r="X20" s="110"/>
      <c r="Y20" s="111"/>
      <c r="Z20" s="88"/>
      <c r="AA20" s="88"/>
      <c r="AB20" s="88"/>
      <c r="AC20" s="2"/>
      <c r="AD20" s="2"/>
      <c r="AE20" s="2"/>
      <c r="AF20" s="2"/>
      <c r="AG20" s="2"/>
      <c r="AH20" s="2"/>
      <c r="AI20" s="2"/>
      <c r="AJ20" s="2"/>
    </row>
    <row r="21" spans="1:36" ht="15" customHeight="1" x14ac:dyDescent="0.3">
      <c r="A21" s="6"/>
      <c r="B21" s="125" t="s">
        <v>53</v>
      </c>
      <c r="C21" s="124"/>
      <c r="D21" s="124"/>
      <c r="E21" s="124"/>
      <c r="F21" s="6"/>
      <c r="G21" s="6"/>
      <c r="H21" s="6"/>
      <c r="I21" s="6"/>
      <c r="J21" s="6"/>
      <c r="K21" s="6"/>
      <c r="L21" s="6"/>
      <c r="M21" s="6"/>
      <c r="N21" s="6"/>
      <c r="O21" s="6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2"/>
      <c r="AD21" s="2"/>
      <c r="AE21" s="2"/>
      <c r="AF21" s="2"/>
      <c r="AG21" s="2"/>
      <c r="AH21" s="2"/>
      <c r="AI21" s="2"/>
      <c r="AJ21" s="2"/>
    </row>
    <row r="22" spans="1:36" ht="19.5" customHeight="1" x14ac:dyDescent="0.3">
      <c r="A22" s="6"/>
      <c r="B22" s="124"/>
      <c r="C22" s="124"/>
      <c r="D22" s="124"/>
      <c r="E22" s="124"/>
      <c r="F22" s="6"/>
      <c r="G22" s="6"/>
      <c r="H22" s="115" t="s">
        <v>46</v>
      </c>
      <c r="I22" s="115"/>
      <c r="J22" s="115"/>
      <c r="K22" s="115"/>
      <c r="L22" s="115"/>
      <c r="M22" s="100"/>
      <c r="N22" s="118">
        <v>2.5</v>
      </c>
      <c r="O22" s="119" t="s">
        <v>47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2"/>
      <c r="AD22" s="2"/>
      <c r="AE22" s="2"/>
      <c r="AF22" s="2"/>
      <c r="AG22" s="2"/>
      <c r="AH22" s="2"/>
      <c r="AI22" s="2"/>
      <c r="AJ22" s="2"/>
    </row>
    <row r="23" spans="1:36" ht="19.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117" t="s">
        <v>11</v>
      </c>
      <c r="S23" s="117"/>
      <c r="T23" s="117"/>
      <c r="U23" s="120"/>
      <c r="V23" s="100"/>
      <c r="W23" s="109" t="s">
        <v>12</v>
      </c>
      <c r="X23" s="110"/>
      <c r="Y23" s="111"/>
      <c r="Z23" s="88"/>
      <c r="AA23" s="88"/>
      <c r="AB23" s="88"/>
      <c r="AC23" s="2"/>
      <c r="AD23" s="2"/>
      <c r="AE23" s="2"/>
      <c r="AF23" s="2"/>
      <c r="AG23" s="2"/>
      <c r="AH23" s="2"/>
      <c r="AI23" s="2"/>
      <c r="AJ23" s="2"/>
    </row>
    <row r="24" spans="1:36" x14ac:dyDescent="0.3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2"/>
      <c r="AD24" s="2"/>
      <c r="AE24" s="2"/>
      <c r="AF24" s="2"/>
      <c r="AG24" s="2"/>
      <c r="AH24" s="2"/>
      <c r="AI24" s="2"/>
      <c r="AJ24" s="2"/>
    </row>
    <row r="25" spans="1:36" ht="19.5" x14ac:dyDescent="0.3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117" t="s">
        <v>85</v>
      </c>
      <c r="S25" s="117"/>
      <c r="T25" s="117"/>
      <c r="U25" s="120"/>
      <c r="V25" s="100"/>
      <c r="W25" s="109" t="s">
        <v>86</v>
      </c>
      <c r="X25" s="110"/>
      <c r="Y25" s="111"/>
      <c r="Z25" s="88"/>
      <c r="AA25" s="88"/>
      <c r="AB25" s="88"/>
      <c r="AC25" s="2"/>
      <c r="AD25" s="2"/>
      <c r="AE25" s="2" t="str">
        <f>IF(W25="Tension dans pause","T",IF(W25="Pontage / Placement","P",IF(W25="Trajectoire","Tr","S")))</f>
        <v>P</v>
      </c>
      <c r="AF25" s="2"/>
      <c r="AG25" s="2"/>
      <c r="AH25" s="2"/>
      <c r="AI25" s="2"/>
      <c r="AJ25" s="2"/>
    </row>
    <row r="26" spans="1:36" x14ac:dyDescent="0.3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2"/>
      <c r="AD26" s="2"/>
      <c r="AE26" s="2"/>
      <c r="AF26" s="2"/>
      <c r="AG26" s="2"/>
      <c r="AH26" s="2"/>
      <c r="AI26" s="2"/>
      <c r="AJ26" s="2"/>
    </row>
    <row r="27" spans="1:36" x14ac:dyDescent="0.3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2"/>
      <c r="AD27" s="2"/>
      <c r="AE27" s="2"/>
      <c r="AF27" s="2"/>
      <c r="AG27" s="2"/>
      <c r="AH27" s="2"/>
      <c r="AI27" s="2"/>
      <c r="AJ27" s="2"/>
    </row>
    <row r="28" spans="1:36" x14ac:dyDescent="0.3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2"/>
      <c r="AD28" s="2"/>
      <c r="AE28" s="2"/>
      <c r="AF28" s="2"/>
      <c r="AG28" s="2"/>
      <c r="AH28" s="2"/>
      <c r="AI28" s="2"/>
      <c r="AJ28" s="2"/>
    </row>
    <row r="29" spans="1:36" x14ac:dyDescent="0.3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2"/>
      <c r="AD29" s="2"/>
      <c r="AE29" s="2"/>
      <c r="AF29" s="2"/>
      <c r="AG29" s="2"/>
      <c r="AH29" s="2"/>
      <c r="AI29" s="2"/>
      <c r="AJ29" s="2"/>
    </row>
    <row r="30" spans="1:36" x14ac:dyDescent="0.3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2"/>
      <c r="AD30" s="2"/>
      <c r="AE30" s="2"/>
      <c r="AF30" s="2"/>
      <c r="AG30" s="2"/>
      <c r="AH30" s="2"/>
      <c r="AI30" s="2"/>
      <c r="AJ30" s="2"/>
    </row>
    <row r="31" spans="1:36" x14ac:dyDescent="0.3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2"/>
      <c r="AD31" s="2"/>
      <c r="AE31" s="2"/>
      <c r="AF31" s="2"/>
      <c r="AG31" s="2"/>
      <c r="AH31" s="2"/>
      <c r="AI31" s="2"/>
      <c r="AJ31" s="2"/>
    </row>
    <row r="32" spans="1:36" x14ac:dyDescent="0.3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2"/>
      <c r="AD32" s="2"/>
      <c r="AE32" s="2"/>
      <c r="AF32" s="2"/>
      <c r="AG32" s="2"/>
      <c r="AH32" s="2"/>
      <c r="AI32" s="2"/>
      <c r="AJ32" s="2"/>
    </row>
    <row r="33" spans="1:36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2"/>
      <c r="AD33" s="2"/>
      <c r="AE33" s="2"/>
      <c r="AF33" s="2"/>
      <c r="AG33" s="2"/>
      <c r="AH33" s="2"/>
      <c r="AI33" s="2"/>
      <c r="AJ33" s="2"/>
    </row>
    <row r="34" spans="1:36" x14ac:dyDescent="0.3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2"/>
      <c r="AD34" s="2"/>
      <c r="AE34" s="2"/>
      <c r="AF34" s="2"/>
      <c r="AG34" s="2"/>
      <c r="AH34" s="2"/>
      <c r="AI34" s="2"/>
      <c r="AJ34" s="2"/>
    </row>
    <row r="35" spans="1:36" x14ac:dyDescent="0.3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2"/>
      <c r="AD35" s="2"/>
      <c r="AE35" s="2"/>
      <c r="AF35" s="2"/>
      <c r="AG35" s="2"/>
      <c r="AH35" s="2"/>
      <c r="AI35" s="2"/>
      <c r="AJ35" s="2"/>
    </row>
    <row r="36" spans="1:36" x14ac:dyDescent="0.3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2"/>
      <c r="AD36" s="2"/>
      <c r="AE36" s="2"/>
      <c r="AF36" s="2"/>
      <c r="AG36" s="2"/>
      <c r="AH36" s="2"/>
      <c r="AI36" s="2"/>
      <c r="AJ36" s="2"/>
    </row>
    <row r="37" spans="1:36" x14ac:dyDescent="0.3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2"/>
      <c r="AD37" s="2"/>
      <c r="AE37" s="2"/>
      <c r="AF37" s="2"/>
      <c r="AG37" s="2"/>
      <c r="AH37" s="2"/>
      <c r="AI37" s="2"/>
      <c r="AJ37" s="2"/>
    </row>
    <row r="38" spans="1:36" x14ac:dyDescent="0.3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2"/>
      <c r="AD38" s="2"/>
      <c r="AE38" s="2"/>
      <c r="AF38" s="2"/>
      <c r="AG38" s="2"/>
      <c r="AH38" s="2"/>
      <c r="AI38" s="2"/>
      <c r="AJ38" s="2"/>
    </row>
    <row r="39" spans="1:36" hidden="1" x14ac:dyDescent="0.3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1"/>
      <c r="AD39" s="1"/>
      <c r="AE39" s="1"/>
      <c r="AF39" s="1"/>
      <c r="AG39" s="1"/>
      <c r="AH39" s="1"/>
      <c r="AI39" s="1"/>
      <c r="AJ39" s="1"/>
    </row>
    <row r="40" spans="1:36" hidden="1" x14ac:dyDescent="0.3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1"/>
      <c r="AD40" s="1"/>
      <c r="AE40" s="1"/>
      <c r="AF40" s="1"/>
      <c r="AG40" s="1"/>
      <c r="AH40" s="1"/>
      <c r="AI40" s="1"/>
      <c r="AJ40" s="1"/>
    </row>
    <row r="41" spans="1:36" hidden="1" x14ac:dyDescent="0.3"/>
    <row r="42" spans="1:36" hidden="1" x14ac:dyDescent="0.3"/>
    <row r="43" spans="1:36" hidden="1" x14ac:dyDescent="0.3"/>
    <row r="44" spans="1:36" hidden="1" x14ac:dyDescent="0.3"/>
    <row r="45" spans="1:36" hidden="1" x14ac:dyDescent="0.3"/>
    <row r="46" spans="1:36" hidden="1" x14ac:dyDescent="0.3"/>
    <row r="47" spans="1:36" hidden="1" x14ac:dyDescent="0.3"/>
    <row r="48" spans="1:36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t="3" hidden="1" customHeight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</sheetData>
  <sheetProtection selectLockedCells="1"/>
  <mergeCells count="18">
    <mergeCell ref="R25:U25"/>
    <mergeCell ref="W25:Y25"/>
    <mergeCell ref="J3:S4"/>
    <mergeCell ref="R13:Y13"/>
    <mergeCell ref="R16:T16"/>
    <mergeCell ref="R15:T15"/>
    <mergeCell ref="W16:Y16"/>
    <mergeCell ref="W15:Y15"/>
    <mergeCell ref="H11:Z11"/>
    <mergeCell ref="J13:K13"/>
    <mergeCell ref="R23:U23"/>
    <mergeCell ref="W23:Y23"/>
    <mergeCell ref="J18:L18"/>
    <mergeCell ref="J20:L20"/>
    <mergeCell ref="H22:L22"/>
    <mergeCell ref="R20:U20"/>
    <mergeCell ref="W20:Y20"/>
    <mergeCell ref="B18:E18"/>
  </mergeCells>
  <dataValidations count="7">
    <dataValidation type="list" allowBlank="1" showInputMessage="1" showErrorMessage="1" sqref="R16:T16" xr:uid="{00000000-0002-0000-0000-000000000000}">
      <formula1>"SDT Deficit,SDT Pausé,SDT Prise d'arraché"</formula1>
    </dataValidation>
    <dataValidation type="list" allowBlank="1" showInputMessage="1" showErrorMessage="1" sqref="W16" xr:uid="{00000000-0002-0000-0000-000001000000}">
      <formula1>"Sumo Pausé,Sumo depuis des blocks"</formula1>
    </dataValidation>
    <dataValidation type="list" allowBlank="1" showInputMessage="1" showErrorMessage="1" sqref="W20:Y20" xr:uid="{00000000-0002-0000-0000-000002000000}">
      <formula1>"Squat Pausé,Squat Tempo 4:0:0,Squat Barre Haute"</formula1>
    </dataValidation>
    <dataValidation type="list" allowBlank="1" showInputMessage="1" showErrorMessage="1" sqref="W23:Y23" xr:uid="{00000000-0002-0000-0000-000003000000}">
      <formula1>"DC Serré,Larsen Press prise moyenne"</formula1>
    </dataValidation>
    <dataValidation type="list" allowBlank="1" showInputMessage="1" showErrorMessage="1" sqref="N18" xr:uid="{00000000-0002-0000-0000-000004000000}">
      <formula1>"Homme,Femme"</formula1>
    </dataValidation>
    <dataValidation type="list" allowBlank="1" showInputMessage="1" showErrorMessage="1" sqref="N22" xr:uid="{00000000-0002-0000-0000-000005000000}">
      <mc:AlternateContent xmlns:x12ac="http://schemas.microsoft.com/office/spreadsheetml/2011/1/ac" xmlns:mc="http://schemas.openxmlformats.org/markup-compatibility/2006">
        <mc:Choice Requires="x12ac">
          <x12ac:list>1,"2,5"</x12ac:list>
        </mc:Choice>
        <mc:Fallback>
          <formula1>"1,2,5"</formula1>
        </mc:Fallback>
      </mc:AlternateContent>
    </dataValidation>
    <dataValidation type="list" allowBlank="1" showInputMessage="1" showErrorMessage="1" sqref="W25:Y25" xr:uid="{EA2F96C0-12D6-4238-9E4A-ED127BF11B24}">
      <formula1>"Pontage / Placement,Trajectoire,Stabilité,Tension dans pause"</formula1>
    </dataValidation>
  </dataValidations>
  <hyperlinks>
    <hyperlink ref="B21:E22" r:id="rId1" display="https://www.atlascoaching.net" xr:uid="{00000000-0004-0000-0000-000000000000}"/>
  </hyperlinks>
  <pageMargins left="0.7" right="0.7" top="0.75" bottom="0.75" header="0.3" footer="0.3"/>
  <pageSetup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25"/>
  <sheetViews>
    <sheetView showGridLines="0" tabSelected="1" zoomScale="90" zoomScaleNormal="90" workbookViewId="0">
      <selection activeCell="Z33" sqref="Z33"/>
    </sheetView>
  </sheetViews>
  <sheetFormatPr baseColWidth="10" defaultColWidth="0" defaultRowHeight="15.75" zeroHeight="1" x14ac:dyDescent="0.3"/>
  <cols>
    <col min="1" max="1" width="22.85546875" style="38" customWidth="1"/>
    <col min="2" max="2" width="0.7109375" style="38" customWidth="1"/>
    <col min="3" max="3" width="22.85546875" style="38" customWidth="1"/>
    <col min="4" max="5" width="7.85546875" style="38" customWidth="1"/>
    <col min="6" max="6" width="11.42578125" style="38" customWidth="1"/>
    <col min="7" max="7" width="5.7109375" style="38" customWidth="1"/>
    <col min="8" max="8" width="22.85546875" style="38" customWidth="1"/>
    <col min="9" max="10" width="7.85546875" style="38" customWidth="1"/>
    <col min="11" max="11" width="11.42578125" style="38" customWidth="1"/>
    <col min="12" max="12" width="5.7109375" style="38" customWidth="1"/>
    <col min="13" max="13" width="22.85546875" style="38" customWidth="1"/>
    <col min="14" max="15" width="7.85546875" style="38" customWidth="1"/>
    <col min="16" max="16" width="11.42578125" style="38" customWidth="1"/>
    <col min="17" max="17" width="0.5703125" style="6" customWidth="1"/>
    <col min="18" max="18" width="22.85546875" style="38" customWidth="1"/>
    <col min="19" max="20" width="7.85546875" style="38" customWidth="1"/>
    <col min="21" max="21" width="11.42578125" style="38" customWidth="1"/>
    <col min="22" max="22" width="5.7109375" style="38" customWidth="1"/>
    <col min="23" max="23" width="0.7109375" style="6" customWidth="1"/>
    <col min="24" max="24" width="11.42578125" style="6" customWidth="1"/>
    <col min="25" max="27" width="11.42578125" style="3" customWidth="1"/>
    <col min="28" max="28" width="0" hidden="1" customWidth="1"/>
    <col min="29" max="16384" width="11.42578125" hidden="1"/>
  </cols>
  <sheetData>
    <row r="1" spans="1:24" ht="11.25" customHeight="1" thickBot="1" x14ac:dyDescent="0.3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R1" s="6"/>
      <c r="S1" s="6"/>
      <c r="T1" s="6"/>
      <c r="U1" s="6"/>
      <c r="V1" s="6"/>
    </row>
    <row r="2" spans="1:24" ht="25.5" customHeight="1" x14ac:dyDescent="0.3">
      <c r="A2" s="6"/>
      <c r="B2" s="52"/>
      <c r="C2" s="53" t="s">
        <v>65</v>
      </c>
      <c r="D2" s="53"/>
      <c r="E2" s="53"/>
      <c r="F2" s="53"/>
      <c r="G2" s="8" t="s">
        <v>64</v>
      </c>
      <c r="H2" s="53" t="s">
        <v>70</v>
      </c>
      <c r="I2" s="53"/>
      <c r="J2" s="53"/>
      <c r="K2" s="53"/>
      <c r="L2" s="8" t="s">
        <v>64</v>
      </c>
      <c r="M2" s="53" t="s">
        <v>71</v>
      </c>
      <c r="N2" s="53"/>
      <c r="O2" s="53"/>
      <c r="P2" s="53"/>
      <c r="Q2" s="9"/>
      <c r="R2" s="53" t="s">
        <v>72</v>
      </c>
      <c r="S2" s="53"/>
      <c r="T2" s="53"/>
      <c r="U2" s="53"/>
      <c r="V2" s="8" t="s">
        <v>64</v>
      </c>
    </row>
    <row r="3" spans="1:24" ht="1.5" customHeight="1" x14ac:dyDescent="0.3">
      <c r="A3" s="6"/>
      <c r="B3" s="7"/>
      <c r="C3" s="10"/>
      <c r="D3" s="11"/>
      <c r="E3" s="11"/>
      <c r="F3" s="11"/>
      <c r="G3" s="12"/>
      <c r="H3" s="13"/>
      <c r="I3" s="14"/>
      <c r="J3" s="14"/>
      <c r="K3" s="14"/>
      <c r="L3" s="12"/>
      <c r="M3" s="10"/>
      <c r="N3" s="11"/>
      <c r="O3" s="11"/>
      <c r="P3" s="11"/>
      <c r="Q3" s="9"/>
      <c r="R3" s="10"/>
      <c r="S3" s="11"/>
      <c r="T3" s="11"/>
      <c r="U3" s="11"/>
      <c r="V3" s="12"/>
    </row>
    <row r="4" spans="1:24" ht="18.75" customHeight="1" x14ac:dyDescent="0.3">
      <c r="A4" s="6"/>
      <c r="B4" s="7"/>
      <c r="C4" s="4" t="s">
        <v>13</v>
      </c>
      <c r="D4" s="5" t="s">
        <v>14</v>
      </c>
      <c r="E4" s="5" t="s">
        <v>15</v>
      </c>
      <c r="F4" s="5" t="s">
        <v>16</v>
      </c>
      <c r="G4" s="12"/>
      <c r="H4" s="15" t="s">
        <v>13</v>
      </c>
      <c r="I4" s="16" t="s">
        <v>14</v>
      </c>
      <c r="J4" s="16" t="s">
        <v>15</v>
      </c>
      <c r="K4" s="16" t="s">
        <v>16</v>
      </c>
      <c r="L4" s="12"/>
      <c r="M4" s="15" t="s">
        <v>13</v>
      </c>
      <c r="N4" s="16" t="s">
        <v>14</v>
      </c>
      <c r="O4" s="16" t="s">
        <v>15</v>
      </c>
      <c r="P4" s="16" t="s">
        <v>16</v>
      </c>
      <c r="Q4" s="17"/>
      <c r="R4" s="15" t="s">
        <v>13</v>
      </c>
      <c r="S4" s="16" t="s">
        <v>14</v>
      </c>
      <c r="T4" s="16" t="s">
        <v>15</v>
      </c>
      <c r="U4" s="16" t="s">
        <v>16</v>
      </c>
      <c r="V4" s="12"/>
    </row>
    <row r="5" spans="1:24" x14ac:dyDescent="0.3">
      <c r="A5" s="6"/>
      <c r="B5" s="7"/>
      <c r="C5" s="46" t="s">
        <v>1</v>
      </c>
      <c r="D5" s="44">
        <v>1</v>
      </c>
      <c r="E5" s="44">
        <v>8</v>
      </c>
      <c r="F5" s="44" t="str">
        <f>MROUND(Démarrage!N13*0.725,(Démarrage!N22))&amp;"kg"</f>
        <v>162,5kg</v>
      </c>
      <c r="G5" s="12"/>
      <c r="H5" s="43" t="str">
        <f>Démarrage!W20</f>
        <v>Squat Barre Haute</v>
      </c>
      <c r="I5" s="43" t="str">
        <f>IF(Démarrage!$N$18="Femme","5","4")</f>
        <v>4</v>
      </c>
      <c r="J5" s="44">
        <v>6</v>
      </c>
      <c r="K5" s="44" t="str">
        <f>MROUND(Démarrage!N13*0.625,(Démarrage!N22))&amp;"kg"</f>
        <v>140kg</v>
      </c>
      <c r="L5" s="12"/>
      <c r="M5" s="46" t="s">
        <v>1</v>
      </c>
      <c r="N5" s="44">
        <v>1</v>
      </c>
      <c r="O5" s="44">
        <v>4</v>
      </c>
      <c r="P5" s="49" t="str">
        <f>MROUND(Démarrage!$N$13*0.825,(Démarrage!$N$22))&amp;"kg"</f>
        <v>185kg</v>
      </c>
      <c r="Q5" s="54"/>
      <c r="R5" s="46" t="s">
        <v>52</v>
      </c>
      <c r="S5" s="43">
        <v>1</v>
      </c>
      <c r="T5" s="43">
        <v>4</v>
      </c>
      <c r="U5" s="43" t="str">
        <f>MROUND(Démarrage!$N$15*0.825,(Démarrage!$N$22))&amp;"kg"</f>
        <v>240kg</v>
      </c>
      <c r="V5" s="12"/>
    </row>
    <row r="6" spans="1:24" x14ac:dyDescent="0.3">
      <c r="A6" s="6"/>
      <c r="B6" s="7"/>
      <c r="C6" s="46"/>
      <c r="D6" s="44">
        <v>3</v>
      </c>
      <c r="E6" s="44">
        <v>8</v>
      </c>
      <c r="F6" s="44" t="str">
        <f>MROUND((Démarrage!N13*0.725)*0.9,(Démarrage!N22))&amp;"kg"</f>
        <v>147,5kg</v>
      </c>
      <c r="G6" s="12"/>
      <c r="H6" s="18" t="str">
        <f>Démarrage!W23</f>
        <v>Larsen Press prise moyenne</v>
      </c>
      <c r="I6" s="19" t="s">
        <v>20</v>
      </c>
      <c r="J6" s="20">
        <v>10</v>
      </c>
      <c r="K6" s="20" t="s">
        <v>21</v>
      </c>
      <c r="L6" s="12"/>
      <c r="M6" s="46"/>
      <c r="N6" s="44">
        <v>3</v>
      </c>
      <c r="O6" s="44">
        <v>5</v>
      </c>
      <c r="P6" s="49" t="str">
        <f>MROUND((Démarrage!$N$13*0.825)*0.875,(Démarrage!$N$22))&amp;"kg"</f>
        <v>162,5kg</v>
      </c>
      <c r="Q6" s="54"/>
      <c r="R6" s="46"/>
      <c r="S6" s="43">
        <f>IF(Démarrage!N15&gt;84,2,3)</f>
        <v>2</v>
      </c>
      <c r="T6" s="55" t="s">
        <v>42</v>
      </c>
      <c r="U6" s="43" t="str">
        <f>MROUND((Démarrage!$N$15*0.825)*0.85,(Démarrage!$N$22))&amp;"kg"</f>
        <v>202,5kg</v>
      </c>
      <c r="V6" s="12"/>
    </row>
    <row r="7" spans="1:24" x14ac:dyDescent="0.3">
      <c r="A7" s="6"/>
      <c r="B7" s="7"/>
      <c r="C7" s="21" t="s">
        <v>17</v>
      </c>
      <c r="D7" s="20">
        <v>1</v>
      </c>
      <c r="E7" s="20">
        <v>8</v>
      </c>
      <c r="F7" s="20" t="str">
        <f>MROUND(Démarrage!N14*0.725,(Démarrage!N22))&amp;"kg"</f>
        <v>110kg</v>
      </c>
      <c r="G7" s="12"/>
      <c r="H7" s="18"/>
      <c r="I7" s="22" t="str">
        <f>IF(Démarrage!N20&gt;84,2,"3")</f>
        <v>3</v>
      </c>
      <c r="J7" s="22" t="str">
        <f>IF(Démarrage!N18="Femme","12","10")</f>
        <v>10</v>
      </c>
      <c r="K7" s="23">
        <v>-0.1</v>
      </c>
      <c r="L7" s="12"/>
      <c r="M7" s="21" t="s">
        <v>17</v>
      </c>
      <c r="N7" s="20">
        <v>1</v>
      </c>
      <c r="O7" s="20">
        <v>4</v>
      </c>
      <c r="P7" s="25" t="str">
        <f>MROUND(Démarrage!$N$14*0.825,(Démarrage!$N$22))&amp;"kg"</f>
        <v>125kg</v>
      </c>
      <c r="Q7" s="24"/>
      <c r="R7" s="27" t="str">
        <f>IF(Démarrage!$AE$25="P","Tempo 4:2:0 Bench",IF(Démarrage!$AE$25="T","Triple Pause Bench","T-Shirt Pause Bench"))</f>
        <v>Tempo 4:2:0 Bench</v>
      </c>
      <c r="S7" s="20">
        <v>1</v>
      </c>
      <c r="T7" s="20">
        <v>2</v>
      </c>
      <c r="U7" s="20" t="str">
        <f>MROUND(Démarrage!$N$14*0.8,(Démarrage!$N$22))&amp;"kg"</f>
        <v>120kg</v>
      </c>
      <c r="V7" s="12"/>
    </row>
    <row r="8" spans="1:24" ht="15.75" customHeight="1" x14ac:dyDescent="0.3">
      <c r="A8" s="67" t="s">
        <v>18</v>
      </c>
      <c r="B8" s="7"/>
      <c r="C8" s="21"/>
      <c r="D8" s="22" t="str">
        <f>IF(Démarrage!N18="Femme","4-5","4")</f>
        <v>4</v>
      </c>
      <c r="E8" s="20">
        <v>8</v>
      </c>
      <c r="F8" s="20" t="str">
        <f>MROUND((Démarrage!N14*0.725)*0.9,(Démarrage!N22))&amp;"kg"</f>
        <v>97,5kg</v>
      </c>
      <c r="G8" s="12"/>
      <c r="H8" s="43" t="s">
        <v>22</v>
      </c>
      <c r="I8" s="44" t="str">
        <f>IF(Démarrage!N18="Femme","5","4")</f>
        <v>4</v>
      </c>
      <c r="J8" s="44">
        <v>12</v>
      </c>
      <c r="K8" s="45" t="s">
        <v>21</v>
      </c>
      <c r="L8" s="12"/>
      <c r="M8" s="21"/>
      <c r="N8" s="22">
        <f>IF(Démarrage!$I$20&gt;94,3,4)</f>
        <v>4</v>
      </c>
      <c r="O8" s="20">
        <v>5</v>
      </c>
      <c r="P8" s="25" t="str">
        <f>MROUND((Démarrage!$N$14*0.825)*0.9,(Démarrage!$N$22))&amp;"kg"</f>
        <v>112,5kg</v>
      </c>
      <c r="Q8" s="24"/>
      <c r="R8" s="27" t="s">
        <v>89</v>
      </c>
      <c r="S8" s="20">
        <v>3</v>
      </c>
      <c r="T8" s="22">
        <f>IF(Démarrage!S8="Femme",7,6)</f>
        <v>6</v>
      </c>
      <c r="U8" s="20" t="str">
        <f>MROUND(Démarrage!$N$14*0.68,(Démarrage!$N$22))&amp;"kg"</f>
        <v>102,5kg</v>
      </c>
      <c r="V8" s="12"/>
    </row>
    <row r="9" spans="1:24" x14ac:dyDescent="0.3">
      <c r="A9" s="67"/>
      <c r="B9" s="7"/>
      <c r="C9" s="47" t="s">
        <v>52</v>
      </c>
      <c r="D9" s="43">
        <v>1</v>
      </c>
      <c r="E9" s="43">
        <v>8</v>
      </c>
      <c r="F9" s="43" t="str">
        <f>MROUND(Démarrage!N15*0.725,(Démarrage!N22))&amp;"kg"</f>
        <v>210kg</v>
      </c>
      <c r="G9" s="12"/>
      <c r="H9" s="22" t="s">
        <v>23</v>
      </c>
      <c r="I9" s="22">
        <v>4</v>
      </c>
      <c r="J9" s="26" t="s">
        <v>24</v>
      </c>
      <c r="K9" s="22"/>
      <c r="L9" s="12"/>
      <c r="M9" s="47" t="s">
        <v>87</v>
      </c>
      <c r="N9" s="43" t="str">
        <f>IF(Démarrage!$N$18="Femme","4","3")</f>
        <v>3</v>
      </c>
      <c r="O9" s="56" t="s">
        <v>88</v>
      </c>
      <c r="P9" s="43" t="s">
        <v>21</v>
      </c>
      <c r="Q9" s="17"/>
      <c r="R9" s="47" t="s">
        <v>29</v>
      </c>
      <c r="S9" s="44">
        <v>4</v>
      </c>
      <c r="T9" s="44">
        <v>10</v>
      </c>
      <c r="U9" s="45" t="s">
        <v>21</v>
      </c>
      <c r="V9" s="12"/>
    </row>
    <row r="10" spans="1:24" ht="17.25" thickBot="1" x14ac:dyDescent="0.35">
      <c r="A10" s="67"/>
      <c r="B10" s="28"/>
      <c r="C10" s="29" t="str">
        <f>Démarrage!R16</f>
        <v>SDT Pausé</v>
      </c>
      <c r="D10" s="30" t="s">
        <v>19</v>
      </c>
      <c r="E10" s="31">
        <v>4</v>
      </c>
      <c r="F10" s="31" t="s">
        <v>36</v>
      </c>
      <c r="G10" s="32"/>
      <c r="H10" s="39" t="s">
        <v>25</v>
      </c>
      <c r="I10" s="40">
        <v>4</v>
      </c>
      <c r="J10" s="41" t="s">
        <v>24</v>
      </c>
      <c r="K10" s="42"/>
      <c r="L10" s="32"/>
      <c r="M10" s="29" t="s">
        <v>32</v>
      </c>
      <c r="N10" s="31">
        <v>3</v>
      </c>
      <c r="O10" s="57" t="s">
        <v>24</v>
      </c>
      <c r="P10" s="58"/>
      <c r="Q10" s="3"/>
      <c r="R10" s="29" t="s">
        <v>30</v>
      </c>
      <c r="S10" s="31">
        <v>4</v>
      </c>
      <c r="T10" s="57" t="s">
        <v>31</v>
      </c>
      <c r="U10" s="59" t="s">
        <v>21</v>
      </c>
      <c r="V10" s="32"/>
    </row>
    <row r="11" spans="1:24" s="3" customFormat="1" ht="7.5" customHeight="1" x14ac:dyDescent="0.3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R11" s="6"/>
      <c r="S11" s="6"/>
      <c r="T11" s="6"/>
      <c r="U11" s="6"/>
      <c r="V11" s="6"/>
      <c r="W11" s="6"/>
      <c r="X11" s="6"/>
    </row>
    <row r="12" spans="1:24" s="3" customFormat="1" ht="16.5" thickBot="1" x14ac:dyDescent="0.3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R12" s="6"/>
      <c r="S12" s="6"/>
      <c r="T12" s="6"/>
      <c r="U12" s="6"/>
      <c r="V12" s="6"/>
      <c r="W12" s="6"/>
      <c r="X12" s="6"/>
    </row>
    <row r="13" spans="1:24" ht="25.5" customHeight="1" x14ac:dyDescent="0.3">
      <c r="A13" s="6"/>
      <c r="B13" s="52"/>
      <c r="C13" s="53" t="s">
        <v>69</v>
      </c>
      <c r="D13" s="53"/>
      <c r="E13" s="53"/>
      <c r="F13" s="53"/>
      <c r="G13" s="8" t="s">
        <v>64</v>
      </c>
      <c r="H13" s="53" t="s">
        <v>73</v>
      </c>
      <c r="I13" s="53"/>
      <c r="J13" s="53"/>
      <c r="K13" s="53"/>
      <c r="L13" s="8" t="s">
        <v>64</v>
      </c>
      <c r="M13" s="53" t="s">
        <v>77</v>
      </c>
      <c r="N13" s="53"/>
      <c r="O13" s="53"/>
      <c r="P13" s="53"/>
      <c r="Q13" s="9"/>
      <c r="R13" s="53" t="s">
        <v>84</v>
      </c>
      <c r="S13" s="53"/>
      <c r="T13" s="53"/>
      <c r="U13" s="53"/>
      <c r="V13" s="8" t="s">
        <v>64</v>
      </c>
    </row>
    <row r="14" spans="1:24" ht="1.5" customHeight="1" x14ac:dyDescent="0.3">
      <c r="A14" s="6"/>
      <c r="B14" s="7"/>
      <c r="C14" s="10"/>
      <c r="D14" s="11"/>
      <c r="E14" s="11"/>
      <c r="F14" s="11"/>
      <c r="G14" s="12"/>
      <c r="H14" s="13"/>
      <c r="I14" s="14"/>
      <c r="J14" s="14"/>
      <c r="K14" s="14"/>
      <c r="L14" s="12"/>
      <c r="M14" s="10"/>
      <c r="N14" s="11"/>
      <c r="O14" s="11"/>
      <c r="P14" s="11"/>
      <c r="Q14" s="9"/>
      <c r="R14" s="10"/>
      <c r="S14" s="11"/>
      <c r="T14" s="11"/>
      <c r="U14" s="11"/>
      <c r="V14" s="12"/>
    </row>
    <row r="15" spans="1:24" ht="18.75" customHeight="1" x14ac:dyDescent="0.3">
      <c r="A15" s="6"/>
      <c r="B15" s="7"/>
      <c r="C15" s="4" t="s">
        <v>13</v>
      </c>
      <c r="D15" s="5" t="s">
        <v>14</v>
      </c>
      <c r="E15" s="5" t="s">
        <v>15</v>
      </c>
      <c r="F15" s="5" t="s">
        <v>16</v>
      </c>
      <c r="G15" s="12"/>
      <c r="H15" s="15" t="s">
        <v>13</v>
      </c>
      <c r="I15" s="16" t="s">
        <v>14</v>
      </c>
      <c r="J15" s="16" t="s">
        <v>15</v>
      </c>
      <c r="K15" s="16" t="s">
        <v>16</v>
      </c>
      <c r="L15" s="12"/>
      <c r="M15" s="15" t="s">
        <v>13</v>
      </c>
      <c r="N15" s="16" t="s">
        <v>14</v>
      </c>
      <c r="O15" s="16" t="s">
        <v>15</v>
      </c>
      <c r="P15" s="16" t="s">
        <v>16</v>
      </c>
      <c r="Q15" s="17"/>
      <c r="R15" s="15" t="s">
        <v>13</v>
      </c>
      <c r="S15" s="16" t="s">
        <v>14</v>
      </c>
      <c r="T15" s="16" t="s">
        <v>15</v>
      </c>
      <c r="U15" s="16" t="s">
        <v>16</v>
      </c>
      <c r="V15" s="12"/>
    </row>
    <row r="16" spans="1:24" x14ac:dyDescent="0.3">
      <c r="A16" s="6"/>
      <c r="B16" s="7"/>
      <c r="C16" s="46" t="s">
        <v>1</v>
      </c>
      <c r="D16" s="44">
        <v>1</v>
      </c>
      <c r="E16" s="44">
        <v>7</v>
      </c>
      <c r="F16" s="44" t="str">
        <f>MROUND(Démarrage!N13*0.75,(Démarrage!N22))&amp;"kg"</f>
        <v>170kg</v>
      </c>
      <c r="G16" s="12"/>
      <c r="H16" s="47" t="str">
        <f>Démarrage!W20</f>
        <v>Squat Barre Haute</v>
      </c>
      <c r="I16" s="43" t="str">
        <f>IF(Démarrage!N18="Femme","4-5","3-4")</f>
        <v>3-4</v>
      </c>
      <c r="J16" s="44">
        <v>6</v>
      </c>
      <c r="K16" s="44" t="str">
        <f>MROUND(Démarrage!N13*0.65,(Démarrage!N22))&amp;"kg"</f>
        <v>147,5kg</v>
      </c>
      <c r="L16" s="12"/>
      <c r="M16" s="46" t="s">
        <v>1</v>
      </c>
      <c r="N16" s="44">
        <v>1</v>
      </c>
      <c r="O16" s="44">
        <v>3</v>
      </c>
      <c r="P16" s="49" t="str">
        <f>MROUND(Démarrage!$N$13*0.86,(Démarrage!$N$22))&amp;"kg"</f>
        <v>192,5kg</v>
      </c>
      <c r="Q16" s="17"/>
      <c r="R16" s="46" t="s">
        <v>52</v>
      </c>
      <c r="S16" s="43">
        <v>1</v>
      </c>
      <c r="T16" s="43">
        <v>3</v>
      </c>
      <c r="U16" s="43" t="str">
        <f>MROUND(Démarrage!$N$15*0.85,(Démarrage!$N$22))&amp;"kg"</f>
        <v>247,5kg</v>
      </c>
      <c r="V16" s="12"/>
    </row>
    <row r="17" spans="1:24" x14ac:dyDescent="0.3">
      <c r="A17" s="6"/>
      <c r="B17" s="7"/>
      <c r="C17" s="46"/>
      <c r="D17" s="44">
        <v>3</v>
      </c>
      <c r="E17" s="44">
        <v>7</v>
      </c>
      <c r="F17" s="44" t="str">
        <f>MROUND((Démarrage!N13*0.75)*0.9,(Démarrage!N22))&amp;"kg"</f>
        <v>152,5kg</v>
      </c>
      <c r="G17" s="12"/>
      <c r="H17" s="34" t="str">
        <f>Démarrage!W23</f>
        <v>Larsen Press prise moyenne</v>
      </c>
      <c r="I17" s="19" t="s">
        <v>20</v>
      </c>
      <c r="J17" s="20">
        <v>9</v>
      </c>
      <c r="K17" s="20" t="s">
        <v>21</v>
      </c>
      <c r="L17" s="12"/>
      <c r="M17" s="46"/>
      <c r="N17" s="44">
        <v>3</v>
      </c>
      <c r="O17" s="44">
        <v>4</v>
      </c>
      <c r="P17" s="49" t="str">
        <f>MROUND((Démarrage!$N$13*0.86)*0.875,(Démarrage!$N$22))&amp;"kg"</f>
        <v>170kg</v>
      </c>
      <c r="Q17" s="17"/>
      <c r="R17" s="46"/>
      <c r="S17" s="43">
        <f>IF(Démarrage!N27&gt;84,2,3)</f>
        <v>3</v>
      </c>
      <c r="T17" s="55" t="s">
        <v>27</v>
      </c>
      <c r="U17" s="43" t="str">
        <f>MROUND((Démarrage!$N$15*0.85)*0.85,(Démarrage!$N$22))&amp;"kg"</f>
        <v>210kg</v>
      </c>
      <c r="V17" s="12"/>
    </row>
    <row r="18" spans="1:24" x14ac:dyDescent="0.3">
      <c r="A18" s="6"/>
      <c r="B18" s="7"/>
      <c r="C18" s="21" t="s">
        <v>17</v>
      </c>
      <c r="D18" s="20">
        <v>1</v>
      </c>
      <c r="E18" s="20">
        <v>7</v>
      </c>
      <c r="F18" s="20" t="str">
        <f>MROUND(Démarrage!N14*0.75,(Démarrage!N22))&amp;"kg"</f>
        <v>112,5kg</v>
      </c>
      <c r="G18" s="12"/>
      <c r="H18" s="34"/>
      <c r="I18" s="22" t="str">
        <f>IF(Démarrage!N20&gt;84,2,"2-3")</f>
        <v>2-3</v>
      </c>
      <c r="J18" s="22" t="str">
        <f>IF(Démarrage!N18="Femme","11","9")</f>
        <v>9</v>
      </c>
      <c r="K18" s="23">
        <v>-0.1</v>
      </c>
      <c r="L18" s="12"/>
      <c r="M18" s="21" t="s">
        <v>17</v>
      </c>
      <c r="N18" s="20">
        <v>1</v>
      </c>
      <c r="O18" s="20">
        <v>3</v>
      </c>
      <c r="P18" s="25" t="str">
        <f>MROUND(Démarrage!$N$14*0.86,(Démarrage!$N$22))&amp;"kg"</f>
        <v>130kg</v>
      </c>
      <c r="Q18" s="24"/>
      <c r="R18" s="27" t="str">
        <f>IF(Démarrage!$AE$25="P","Tempo 4:2:0 Bench",IF(Démarrage!$AE$25="T","Triple Pause Bench","T-Shirt Pause Bench"))</f>
        <v>Tempo 4:2:0 Bench</v>
      </c>
      <c r="S18" s="20">
        <v>1</v>
      </c>
      <c r="T18" s="20">
        <v>2</v>
      </c>
      <c r="U18" s="20" t="str">
        <f>MROUND(Démarrage!$N$14*0.82,(Démarrage!$N$22))&amp;"kg"</f>
        <v>122,5kg</v>
      </c>
      <c r="V18" s="12"/>
    </row>
    <row r="19" spans="1:24" ht="15.75" customHeight="1" x14ac:dyDescent="0.3">
      <c r="A19" s="67" t="s">
        <v>33</v>
      </c>
      <c r="B19" s="7"/>
      <c r="C19" s="21"/>
      <c r="D19" s="22" t="str">
        <f>IF(Démarrage!N18="Femme","4-5","4")</f>
        <v>4</v>
      </c>
      <c r="E19" s="20">
        <v>7</v>
      </c>
      <c r="F19" s="20" t="str">
        <f>MROUND((Démarrage!N14*0.75)*0.9,(Démarrage!N22))&amp;"kg"</f>
        <v>102,5kg</v>
      </c>
      <c r="G19" s="12"/>
      <c r="H19" s="43" t="s">
        <v>22</v>
      </c>
      <c r="I19" s="44" t="str">
        <f>IF(Démarrage!N29="Femme","5","4")</f>
        <v>4</v>
      </c>
      <c r="J19" s="44">
        <v>12</v>
      </c>
      <c r="K19" s="45" t="s">
        <v>90</v>
      </c>
      <c r="L19" s="12"/>
      <c r="M19" s="21"/>
      <c r="N19" s="22">
        <f>IF(Démarrage!$I$20&gt;94,3,4)</f>
        <v>4</v>
      </c>
      <c r="O19" s="20">
        <v>4</v>
      </c>
      <c r="P19" s="25" t="str">
        <f>MROUND((Démarrage!$N$14*0.86)*0.9,(Démarrage!$N$22))&amp;"kg"</f>
        <v>115kg</v>
      </c>
      <c r="Q19" s="24"/>
      <c r="R19" s="27" t="s">
        <v>89</v>
      </c>
      <c r="S19" s="20">
        <v>3</v>
      </c>
      <c r="T19" s="22">
        <f>IF(Démarrage!S20="Femme",7,6)</f>
        <v>6</v>
      </c>
      <c r="U19" s="20" t="str">
        <f>MROUND(Démarrage!$N$14*0.7,(Démarrage!$N$22))&amp;"kg"</f>
        <v>105kg</v>
      </c>
      <c r="V19" s="12"/>
    </row>
    <row r="20" spans="1:24" x14ac:dyDescent="0.3">
      <c r="A20" s="67"/>
      <c r="B20" s="7"/>
      <c r="C20" s="47" t="s">
        <v>52</v>
      </c>
      <c r="D20" s="43">
        <v>1</v>
      </c>
      <c r="E20" s="43">
        <v>7</v>
      </c>
      <c r="F20" s="43" t="str">
        <f>MROUND(Démarrage!N15*0.75,(Démarrage!N22))&amp;"kg"</f>
        <v>217,5kg</v>
      </c>
      <c r="G20" s="12"/>
      <c r="H20" s="27" t="s">
        <v>23</v>
      </c>
      <c r="I20" s="22">
        <v>4</v>
      </c>
      <c r="J20" s="26" t="s">
        <v>24</v>
      </c>
      <c r="K20" s="22"/>
      <c r="L20" s="12"/>
      <c r="M20" s="47" t="s">
        <v>87</v>
      </c>
      <c r="N20" s="43" t="str">
        <f>IF(Démarrage!$N$18="Femme","4","3")</f>
        <v>3</v>
      </c>
      <c r="O20" s="56" t="s">
        <v>88</v>
      </c>
      <c r="P20" s="43" t="s">
        <v>90</v>
      </c>
      <c r="Q20" s="17"/>
      <c r="R20" s="47" t="s">
        <v>29</v>
      </c>
      <c r="S20" s="44">
        <v>4</v>
      </c>
      <c r="T20" s="44">
        <v>10</v>
      </c>
      <c r="U20" s="45" t="s">
        <v>90</v>
      </c>
      <c r="V20" s="12"/>
    </row>
    <row r="21" spans="1:24" ht="16.5" thickBot="1" x14ac:dyDescent="0.35">
      <c r="A21" s="67"/>
      <c r="B21" s="28"/>
      <c r="C21" s="29" t="str">
        <f>Démarrage!R16</f>
        <v>SDT Pausé</v>
      </c>
      <c r="D21" s="30" t="s">
        <v>19</v>
      </c>
      <c r="E21" s="31">
        <v>3</v>
      </c>
      <c r="F21" s="31" t="s">
        <v>37</v>
      </c>
      <c r="G21" s="32"/>
      <c r="H21" s="48" t="s">
        <v>25</v>
      </c>
      <c r="I21" s="40">
        <v>4</v>
      </c>
      <c r="J21" s="41" t="s">
        <v>24</v>
      </c>
      <c r="K21" s="40"/>
      <c r="L21" s="32"/>
      <c r="M21" s="29" t="s">
        <v>32</v>
      </c>
      <c r="N21" s="31">
        <v>3</v>
      </c>
      <c r="O21" s="57" t="s">
        <v>24</v>
      </c>
      <c r="P21" s="58"/>
      <c r="Q21" s="33"/>
      <c r="R21" s="29" t="s">
        <v>30</v>
      </c>
      <c r="S21" s="31">
        <v>4</v>
      </c>
      <c r="T21" s="57" t="s">
        <v>31</v>
      </c>
      <c r="U21" s="59" t="s">
        <v>90</v>
      </c>
      <c r="V21" s="32"/>
    </row>
    <row r="22" spans="1:24" s="3" customFormat="1" ht="7.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s="3" customFormat="1" ht="16.5" thickBot="1" x14ac:dyDescent="0.3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25.5" customHeight="1" x14ac:dyDescent="0.3">
      <c r="A24" s="6"/>
      <c r="B24" s="52"/>
      <c r="C24" s="53" t="s">
        <v>68</v>
      </c>
      <c r="D24" s="53"/>
      <c r="E24" s="53"/>
      <c r="F24" s="53"/>
      <c r="G24" s="8" t="s">
        <v>64</v>
      </c>
      <c r="H24" s="53" t="s">
        <v>74</v>
      </c>
      <c r="I24" s="53"/>
      <c r="J24" s="53"/>
      <c r="K24" s="53"/>
      <c r="L24" s="8" t="s">
        <v>64</v>
      </c>
      <c r="M24" s="53" t="s">
        <v>78</v>
      </c>
      <c r="N24" s="53"/>
      <c r="O24" s="53"/>
      <c r="P24" s="53"/>
      <c r="Q24" s="9"/>
      <c r="R24" s="53" t="s">
        <v>83</v>
      </c>
      <c r="S24" s="53"/>
      <c r="T24" s="53"/>
      <c r="U24" s="53"/>
      <c r="V24" s="8" t="s">
        <v>64</v>
      </c>
    </row>
    <row r="25" spans="1:24" ht="1.5" customHeight="1" x14ac:dyDescent="0.3">
      <c r="A25" s="6"/>
      <c r="B25" s="7"/>
      <c r="C25" s="10"/>
      <c r="D25" s="11"/>
      <c r="E25" s="11"/>
      <c r="F25" s="11"/>
      <c r="G25" s="12"/>
      <c r="H25" s="13"/>
      <c r="I25" s="14"/>
      <c r="J25" s="14"/>
      <c r="K25" s="14"/>
      <c r="L25" s="12"/>
      <c r="M25" s="10"/>
      <c r="N25" s="11"/>
      <c r="O25" s="11"/>
      <c r="P25" s="11"/>
      <c r="Q25" s="9"/>
      <c r="R25" s="10"/>
      <c r="S25" s="11"/>
      <c r="T25" s="11"/>
      <c r="U25" s="11"/>
      <c r="V25" s="12"/>
    </row>
    <row r="26" spans="1:24" ht="18.75" customHeight="1" x14ac:dyDescent="0.3">
      <c r="A26" s="6"/>
      <c r="B26" s="7"/>
      <c r="C26" s="4" t="s">
        <v>13</v>
      </c>
      <c r="D26" s="5" t="s">
        <v>14</v>
      </c>
      <c r="E26" s="5" t="s">
        <v>15</v>
      </c>
      <c r="F26" s="5" t="s">
        <v>16</v>
      </c>
      <c r="G26" s="12"/>
      <c r="H26" s="15" t="s">
        <v>13</v>
      </c>
      <c r="I26" s="16" t="s">
        <v>14</v>
      </c>
      <c r="J26" s="16" t="s">
        <v>15</v>
      </c>
      <c r="K26" s="16" t="s">
        <v>16</v>
      </c>
      <c r="L26" s="12"/>
      <c r="M26" s="15" t="s">
        <v>13</v>
      </c>
      <c r="N26" s="16" t="s">
        <v>14</v>
      </c>
      <c r="O26" s="16" t="s">
        <v>15</v>
      </c>
      <c r="P26" s="16" t="s">
        <v>16</v>
      </c>
      <c r="Q26" s="17"/>
      <c r="R26" s="15" t="s">
        <v>13</v>
      </c>
      <c r="S26" s="16" t="s">
        <v>14</v>
      </c>
      <c r="T26" s="16" t="s">
        <v>15</v>
      </c>
      <c r="U26" s="16" t="s">
        <v>16</v>
      </c>
      <c r="V26" s="12"/>
    </row>
    <row r="27" spans="1:24" x14ac:dyDescent="0.3">
      <c r="A27" s="6"/>
      <c r="B27" s="7"/>
      <c r="C27" s="46" t="s">
        <v>1</v>
      </c>
      <c r="D27" s="44">
        <v>1</v>
      </c>
      <c r="E27" s="44">
        <v>6</v>
      </c>
      <c r="F27" s="44" t="str">
        <f>MROUND(Démarrage!N13*0.775,(Démarrage!N22))&amp;"kg"</f>
        <v>175kg</v>
      </c>
      <c r="G27" s="12"/>
      <c r="H27" s="47" t="str">
        <f>Démarrage!W20</f>
        <v>Squat Barre Haute</v>
      </c>
      <c r="I27" s="43" t="str">
        <f>IF(Démarrage!N18="Femme","4","3")</f>
        <v>3</v>
      </c>
      <c r="J27" s="44">
        <v>5</v>
      </c>
      <c r="K27" s="44" t="str">
        <f>MROUND(Démarrage!N13*0.675,(Démarrage!N22))&amp;"kg"</f>
        <v>152,5kg</v>
      </c>
      <c r="L27" s="12"/>
      <c r="M27" s="46" t="s">
        <v>1</v>
      </c>
      <c r="N27" s="44">
        <v>1</v>
      </c>
      <c r="O27" s="44">
        <v>2</v>
      </c>
      <c r="P27" s="49" t="str">
        <f>MROUND(Démarrage!$N$13*0.89,(Démarrage!$N$22))&amp;"kg"</f>
        <v>200kg</v>
      </c>
      <c r="Q27" s="17"/>
      <c r="R27" s="46" t="s">
        <v>52</v>
      </c>
      <c r="S27" s="43">
        <v>1</v>
      </c>
      <c r="T27" s="43">
        <v>2</v>
      </c>
      <c r="U27" s="43" t="str">
        <f>MROUND(Démarrage!$N$15*0.875,(Démarrage!$N$22))&amp;"kg"</f>
        <v>255kg</v>
      </c>
      <c r="V27" s="12"/>
    </row>
    <row r="28" spans="1:24" x14ac:dyDescent="0.3">
      <c r="A28" s="6"/>
      <c r="B28" s="7"/>
      <c r="C28" s="46"/>
      <c r="D28" s="44">
        <v>3</v>
      </c>
      <c r="E28" s="44">
        <v>6</v>
      </c>
      <c r="F28" s="44" t="str">
        <f>MROUND((Démarrage!N13*0.775)*0.9,(Démarrage!N22))&amp;"kg"</f>
        <v>157,5kg</v>
      </c>
      <c r="G28" s="12"/>
      <c r="H28" s="34" t="str">
        <f>Démarrage!W23</f>
        <v>Larsen Press prise moyenne</v>
      </c>
      <c r="I28" s="19" t="s">
        <v>20</v>
      </c>
      <c r="J28" s="20">
        <v>8</v>
      </c>
      <c r="K28" s="20" t="s">
        <v>21</v>
      </c>
      <c r="L28" s="12"/>
      <c r="M28" s="46"/>
      <c r="N28" s="44">
        <v>3</v>
      </c>
      <c r="O28" s="44">
        <v>3</v>
      </c>
      <c r="P28" s="49" t="str">
        <f>MROUND((Démarrage!$N$13*0.89)*0.875,(Démarrage!$N$22))&amp;"kg"</f>
        <v>175kg</v>
      </c>
      <c r="Q28" s="17"/>
      <c r="R28" s="46"/>
      <c r="S28" s="43">
        <f>IF(Démarrage!N38&gt;84,2,3)</f>
        <v>3</v>
      </c>
      <c r="T28" s="55" t="s">
        <v>26</v>
      </c>
      <c r="U28" s="43" t="str">
        <f>MROUND((Démarrage!$N$15*0.875)*0.85,(Démarrage!$N$22))&amp;"kg"</f>
        <v>215kg</v>
      </c>
      <c r="V28" s="12"/>
    </row>
    <row r="29" spans="1:24" x14ac:dyDescent="0.3">
      <c r="A29" s="6"/>
      <c r="B29" s="7"/>
      <c r="C29" s="21" t="s">
        <v>17</v>
      </c>
      <c r="D29" s="20">
        <v>1</v>
      </c>
      <c r="E29" s="20">
        <v>6</v>
      </c>
      <c r="F29" s="20" t="str">
        <f>MROUND(Démarrage!N14*0.775,(Démarrage!N22))&amp;"kg"</f>
        <v>117,5kg</v>
      </c>
      <c r="G29" s="12"/>
      <c r="H29" s="34"/>
      <c r="I29" s="22" t="str">
        <f>IF(Démarrage!N20&gt;84,2,"2-3")</f>
        <v>2-3</v>
      </c>
      <c r="J29" s="22" t="str">
        <f>IF(Démarrage!N18="Femme","10","8")</f>
        <v>8</v>
      </c>
      <c r="K29" s="23">
        <v>-0.1</v>
      </c>
      <c r="L29" s="12"/>
      <c r="M29" s="21" t="s">
        <v>17</v>
      </c>
      <c r="N29" s="20">
        <v>1</v>
      </c>
      <c r="O29" s="20">
        <v>2</v>
      </c>
      <c r="P29" s="25" t="str">
        <f>MROUND(Démarrage!$N$14*0.89,(Démarrage!$N$22))&amp;"kg"</f>
        <v>132,5kg</v>
      </c>
      <c r="Q29" s="24"/>
      <c r="R29" s="27" t="str">
        <f>IF(Démarrage!$AE$25="P","Tempo 4:2:0 Bench",IF(Démarrage!$AE$25="T","Triple Pause Bench","T-Shirt Pause Bench"))</f>
        <v>Tempo 4:2:0 Bench</v>
      </c>
      <c r="S29" s="20">
        <v>1</v>
      </c>
      <c r="T29" s="20">
        <v>1</v>
      </c>
      <c r="U29" s="20" t="str">
        <f>MROUND(Démarrage!$N$14*0.84,(Démarrage!$N$22))&amp;"kg"</f>
        <v>125kg</v>
      </c>
      <c r="V29" s="12"/>
    </row>
    <row r="30" spans="1:24" ht="15.75" customHeight="1" x14ac:dyDescent="0.3">
      <c r="A30" s="67" t="s">
        <v>34</v>
      </c>
      <c r="B30" s="7"/>
      <c r="C30" s="21"/>
      <c r="D30" s="22" t="str">
        <f>IF(Démarrage!N18="Femme","4-5","4")</f>
        <v>4</v>
      </c>
      <c r="E30" s="20">
        <v>6</v>
      </c>
      <c r="F30" s="20" t="str">
        <f>MROUND((Démarrage!N14*0.775)*0.9,(Démarrage!N22))&amp;"kg"</f>
        <v>105kg</v>
      </c>
      <c r="G30" s="12"/>
      <c r="H30" s="43" t="s">
        <v>22</v>
      </c>
      <c r="I30" s="44" t="str">
        <f>IF(Démarrage!N40="Femme","5","4")</f>
        <v>4</v>
      </c>
      <c r="J30" s="44">
        <v>12</v>
      </c>
      <c r="K30" s="45" t="s">
        <v>90</v>
      </c>
      <c r="L30" s="12"/>
      <c r="M30" s="21"/>
      <c r="N30" s="22">
        <f>IF(Démarrage!$I$20&gt;94,3,4)</f>
        <v>4</v>
      </c>
      <c r="O30" s="20">
        <v>3</v>
      </c>
      <c r="P30" s="25" t="str">
        <f>MROUND((Démarrage!$N$14*0.89)*0.9,(Démarrage!$N$22))&amp;"kg"</f>
        <v>120kg</v>
      </c>
      <c r="Q30" s="24"/>
      <c r="R30" s="27" t="s">
        <v>89</v>
      </c>
      <c r="S30" s="20">
        <v>3</v>
      </c>
      <c r="T30" s="22">
        <v>5</v>
      </c>
      <c r="U30" s="20" t="str">
        <f>MROUND(Démarrage!$N$14*0.72,(Démarrage!$N$22))&amp;"kg"</f>
        <v>107,5kg</v>
      </c>
      <c r="V30" s="12"/>
    </row>
    <row r="31" spans="1:24" x14ac:dyDescent="0.3">
      <c r="A31" s="67"/>
      <c r="B31" s="7"/>
      <c r="C31" s="47" t="s">
        <v>52</v>
      </c>
      <c r="D31" s="43">
        <v>1</v>
      </c>
      <c r="E31" s="43">
        <v>6</v>
      </c>
      <c r="F31" s="43" t="str">
        <f>MROUND(Démarrage!N15*0.775,(Démarrage!N22))&amp;"kg"</f>
        <v>225kg</v>
      </c>
      <c r="G31" s="12"/>
      <c r="H31" s="27" t="s">
        <v>23</v>
      </c>
      <c r="I31" s="22">
        <v>4</v>
      </c>
      <c r="J31" s="26" t="s">
        <v>24</v>
      </c>
      <c r="K31" s="22"/>
      <c r="L31" s="12"/>
      <c r="M31" s="47" t="s">
        <v>87</v>
      </c>
      <c r="N31" s="43" t="str">
        <f>IF(Démarrage!$N$18="Femme","4","3")</f>
        <v>3</v>
      </c>
      <c r="O31" s="56" t="s">
        <v>88</v>
      </c>
      <c r="P31" s="43" t="s">
        <v>91</v>
      </c>
      <c r="Q31" s="17"/>
      <c r="R31" s="47" t="s">
        <v>29</v>
      </c>
      <c r="S31" s="44">
        <v>4</v>
      </c>
      <c r="T31" s="44">
        <v>10</v>
      </c>
      <c r="U31" s="45" t="s">
        <v>90</v>
      </c>
      <c r="V31" s="12"/>
    </row>
    <row r="32" spans="1:24" ht="16.5" thickBot="1" x14ac:dyDescent="0.35">
      <c r="A32" s="67"/>
      <c r="B32" s="28"/>
      <c r="C32" s="29" t="str">
        <f>Démarrage!R16</f>
        <v>SDT Pausé</v>
      </c>
      <c r="D32" s="30" t="s">
        <v>35</v>
      </c>
      <c r="E32" s="31">
        <v>3</v>
      </c>
      <c r="F32" s="31" t="s">
        <v>38</v>
      </c>
      <c r="G32" s="32"/>
      <c r="H32" s="48" t="s">
        <v>25</v>
      </c>
      <c r="I32" s="40">
        <v>3</v>
      </c>
      <c r="J32" s="41" t="s">
        <v>24</v>
      </c>
      <c r="K32" s="40"/>
      <c r="L32" s="32"/>
      <c r="M32" s="29" t="s">
        <v>32</v>
      </c>
      <c r="N32" s="31">
        <v>3</v>
      </c>
      <c r="O32" s="57" t="s">
        <v>24</v>
      </c>
      <c r="P32" s="58"/>
      <c r="Q32" s="33"/>
      <c r="R32" s="29" t="s">
        <v>30</v>
      </c>
      <c r="S32" s="31">
        <v>4</v>
      </c>
      <c r="T32" s="57" t="s">
        <v>31</v>
      </c>
      <c r="U32" s="59" t="s">
        <v>90</v>
      </c>
      <c r="V32" s="32"/>
    </row>
    <row r="33" spans="1:24" s="3" customFormat="1" ht="7.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s="3" customFormat="1" ht="16.5" thickBot="1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25.5" customHeight="1" x14ac:dyDescent="0.3">
      <c r="A35" s="6"/>
      <c r="B35" s="52"/>
      <c r="C35" s="53" t="s">
        <v>67</v>
      </c>
      <c r="D35" s="53"/>
      <c r="E35" s="53"/>
      <c r="F35" s="53"/>
      <c r="G35" s="8" t="s">
        <v>64</v>
      </c>
      <c r="H35" s="53" t="s">
        <v>75</v>
      </c>
      <c r="I35" s="53"/>
      <c r="J35" s="53"/>
      <c r="K35" s="53"/>
      <c r="L35" s="8" t="s">
        <v>64</v>
      </c>
      <c r="M35" s="53" t="s">
        <v>79</v>
      </c>
      <c r="N35" s="53"/>
      <c r="O35" s="53"/>
      <c r="P35" s="53"/>
      <c r="Q35" s="9"/>
      <c r="R35" s="53" t="s">
        <v>82</v>
      </c>
      <c r="S35" s="53"/>
      <c r="T35" s="53"/>
      <c r="U35" s="53"/>
      <c r="V35" s="8" t="s">
        <v>64</v>
      </c>
    </row>
    <row r="36" spans="1:24" ht="1.5" customHeight="1" x14ac:dyDescent="0.3">
      <c r="A36" s="6"/>
      <c r="B36" s="7"/>
      <c r="C36" s="10"/>
      <c r="D36" s="11"/>
      <c r="E36" s="11"/>
      <c r="F36" s="11"/>
      <c r="G36" s="12"/>
      <c r="H36" s="13"/>
      <c r="I36" s="14"/>
      <c r="J36" s="14"/>
      <c r="K36" s="14"/>
      <c r="L36" s="12"/>
      <c r="M36" s="10"/>
      <c r="N36" s="11"/>
      <c r="O36" s="11"/>
      <c r="P36" s="11"/>
      <c r="Q36" s="9"/>
      <c r="R36" s="10"/>
      <c r="S36" s="11"/>
      <c r="T36" s="11"/>
      <c r="U36" s="11"/>
      <c r="V36" s="12"/>
    </row>
    <row r="37" spans="1:24" ht="18.75" customHeight="1" x14ac:dyDescent="0.3">
      <c r="A37" s="6"/>
      <c r="B37" s="7"/>
      <c r="C37" s="4" t="s">
        <v>13</v>
      </c>
      <c r="D37" s="5" t="s">
        <v>14</v>
      </c>
      <c r="E37" s="5" t="s">
        <v>15</v>
      </c>
      <c r="F37" s="5" t="s">
        <v>16</v>
      </c>
      <c r="G37" s="12"/>
      <c r="H37" s="15" t="s">
        <v>13</v>
      </c>
      <c r="I37" s="16" t="s">
        <v>14</v>
      </c>
      <c r="J37" s="16" t="s">
        <v>15</v>
      </c>
      <c r="K37" s="16" t="s">
        <v>16</v>
      </c>
      <c r="L37" s="12"/>
      <c r="M37" s="15" t="s">
        <v>13</v>
      </c>
      <c r="N37" s="16" t="s">
        <v>14</v>
      </c>
      <c r="O37" s="16" t="s">
        <v>15</v>
      </c>
      <c r="P37" s="16" t="s">
        <v>16</v>
      </c>
      <c r="Q37" s="17"/>
      <c r="R37" s="15" t="s">
        <v>13</v>
      </c>
      <c r="S37" s="16" t="s">
        <v>14</v>
      </c>
      <c r="T37" s="16" t="s">
        <v>15</v>
      </c>
      <c r="U37" s="16" t="s">
        <v>16</v>
      </c>
      <c r="V37" s="12"/>
    </row>
    <row r="38" spans="1:24" x14ac:dyDescent="0.3">
      <c r="A38" s="6"/>
      <c r="B38" s="7"/>
      <c r="C38" s="46" t="s">
        <v>1</v>
      </c>
      <c r="D38" s="44">
        <v>1</v>
      </c>
      <c r="E38" s="44">
        <v>5</v>
      </c>
      <c r="F38" s="44" t="str">
        <f>MROUND(Démarrage!N13*0.8,(Démarrage!N22))&amp;"kg"</f>
        <v>180kg</v>
      </c>
      <c r="G38" s="12"/>
      <c r="H38" s="47" t="str">
        <f>Démarrage!W20</f>
        <v>Squat Barre Haute</v>
      </c>
      <c r="I38" s="43" t="str">
        <f>IF(Démarrage!N18="Femme","3-4","2-3")</f>
        <v>2-3</v>
      </c>
      <c r="J38" s="44">
        <v>4</v>
      </c>
      <c r="K38" s="44" t="str">
        <f>MROUND(Démarrage!N13*0.7,(Démarrage!N22))&amp;"kg"</f>
        <v>157,5kg</v>
      </c>
      <c r="L38" s="12"/>
      <c r="M38" s="46" t="s">
        <v>1</v>
      </c>
      <c r="N38" s="44">
        <v>1</v>
      </c>
      <c r="O38" s="44">
        <v>1</v>
      </c>
      <c r="P38" s="49" t="str">
        <f>MROUND(Démarrage!$N$13*0.92,(Démarrage!$N$22))&amp;"kg"</f>
        <v>207,5kg</v>
      </c>
      <c r="Q38" s="17"/>
      <c r="R38" s="46" t="s">
        <v>52</v>
      </c>
      <c r="S38" s="43">
        <v>1</v>
      </c>
      <c r="T38" s="43">
        <v>1</v>
      </c>
      <c r="U38" s="43" t="str">
        <f>MROUND(Démarrage!$N$15*0.9,(Démarrage!$N$22))&amp;"kg"</f>
        <v>260kg</v>
      </c>
      <c r="V38" s="12"/>
    </row>
    <row r="39" spans="1:24" x14ac:dyDescent="0.3">
      <c r="A39" s="6"/>
      <c r="B39" s="7"/>
      <c r="C39" s="46"/>
      <c r="D39" s="44">
        <v>3</v>
      </c>
      <c r="E39" s="44">
        <v>5</v>
      </c>
      <c r="F39" s="44" t="str">
        <f>MROUND((Démarrage!N13*0.8)*0.9,(Démarrage!N22))&amp;"kg"</f>
        <v>162,5kg</v>
      </c>
      <c r="G39" s="12"/>
      <c r="H39" s="34" t="str">
        <f>Démarrage!W23</f>
        <v>Larsen Press prise moyenne</v>
      </c>
      <c r="I39" s="19" t="s">
        <v>20</v>
      </c>
      <c r="J39" s="20">
        <v>7</v>
      </c>
      <c r="K39" s="20" t="s">
        <v>21</v>
      </c>
      <c r="L39" s="12"/>
      <c r="M39" s="46"/>
      <c r="N39" s="44">
        <v>3</v>
      </c>
      <c r="O39" s="44">
        <v>2</v>
      </c>
      <c r="P39" s="49" t="str">
        <f>MROUND((Démarrage!$N$13*0.92)*0.875,(Démarrage!$N$22))&amp;"kg"</f>
        <v>180kg</v>
      </c>
      <c r="Q39" s="17"/>
      <c r="R39" s="46"/>
      <c r="S39" s="43">
        <f>IF(Démarrage!N49&gt;84,2,3)</f>
        <v>3</v>
      </c>
      <c r="T39" s="55" t="s">
        <v>28</v>
      </c>
      <c r="U39" s="43" t="str">
        <f>MROUND((Démarrage!$N$15*0.9)*0.85,(Démarrage!$N$22))&amp;"kg"</f>
        <v>222,5kg</v>
      </c>
      <c r="V39" s="12"/>
    </row>
    <row r="40" spans="1:24" x14ac:dyDescent="0.3">
      <c r="A40" s="6"/>
      <c r="B40" s="7"/>
      <c r="C40" s="21" t="s">
        <v>17</v>
      </c>
      <c r="D40" s="20">
        <v>1</v>
      </c>
      <c r="E40" s="20">
        <v>5</v>
      </c>
      <c r="F40" s="20" t="str">
        <f>MROUND(Démarrage!N14*0.8,(Démarrage!N22))&amp;"kg"</f>
        <v>120kg</v>
      </c>
      <c r="G40" s="12"/>
      <c r="H40" s="34"/>
      <c r="I40" s="22">
        <f>IF(Démarrage!N20&gt;84,1,2)</f>
        <v>2</v>
      </c>
      <c r="J40" s="22" t="str">
        <f>IF(Démarrage!N18="Femme","9","7")</f>
        <v>7</v>
      </c>
      <c r="K40" s="23">
        <v>-0.1</v>
      </c>
      <c r="L40" s="12"/>
      <c r="M40" s="21" t="s">
        <v>17</v>
      </c>
      <c r="N40" s="20">
        <v>1</v>
      </c>
      <c r="O40" s="20">
        <v>1</v>
      </c>
      <c r="P40" s="25" t="str">
        <f>MROUND(Démarrage!$N$14*0.92,(Démarrage!$N$22))&amp;"kg"</f>
        <v>137,5kg</v>
      </c>
      <c r="Q40" s="24"/>
      <c r="R40" s="27" t="str">
        <f>IF(Démarrage!$AE$25="P","Tempo 4:2:0 Bench",IF(Démarrage!$AE$25="T","Triple Pause Bench","T-Shirt Pause Bench"))</f>
        <v>Tempo 4:2:0 Bench</v>
      </c>
      <c r="S40" s="20">
        <v>1</v>
      </c>
      <c r="T40" s="20">
        <v>1</v>
      </c>
      <c r="U40" s="20" t="str">
        <f>MROUND(Démarrage!$N$14*0.86,(Démarrage!$N$22))&amp;"kg"</f>
        <v>130kg</v>
      </c>
      <c r="V40" s="12"/>
    </row>
    <row r="41" spans="1:24" ht="15.75" customHeight="1" x14ac:dyDescent="0.3">
      <c r="A41" s="67" t="s">
        <v>39</v>
      </c>
      <c r="B41" s="7"/>
      <c r="C41" s="21"/>
      <c r="D41" s="22" t="str">
        <f>IF(Démarrage!N18="Femme","4-5","4")</f>
        <v>4</v>
      </c>
      <c r="E41" s="20">
        <v>5</v>
      </c>
      <c r="F41" s="20" t="str">
        <f>MROUND((Démarrage!N14*0.8)*0.9,(Démarrage!N22))&amp;"kg"</f>
        <v>107,5kg</v>
      </c>
      <c r="G41" s="12"/>
      <c r="H41" s="43" t="s">
        <v>22</v>
      </c>
      <c r="I41" s="44" t="str">
        <f>IF(Démarrage!N51="Femme","5","4")</f>
        <v>4</v>
      </c>
      <c r="J41" s="44">
        <v>12</v>
      </c>
      <c r="K41" s="45" t="s">
        <v>21</v>
      </c>
      <c r="L41" s="12"/>
      <c r="M41" s="21"/>
      <c r="N41" s="22">
        <f>IF(Démarrage!$I$20&gt;94,3,4)</f>
        <v>4</v>
      </c>
      <c r="O41" s="20">
        <v>2</v>
      </c>
      <c r="P41" s="25" t="str">
        <f>MROUND((Démarrage!$N$14*0.92)*0.9,(Démarrage!$N$22))&amp;"kg"</f>
        <v>125kg</v>
      </c>
      <c r="Q41" s="24"/>
      <c r="R41" s="27" t="s">
        <v>89</v>
      </c>
      <c r="S41" s="20">
        <v>3</v>
      </c>
      <c r="T41" s="22">
        <v>5</v>
      </c>
      <c r="U41" s="20" t="str">
        <f>MROUND(Démarrage!$N$14*0.74,(Démarrage!$N$22))&amp;"kg"</f>
        <v>110kg</v>
      </c>
      <c r="V41" s="12"/>
    </row>
    <row r="42" spans="1:24" x14ac:dyDescent="0.3">
      <c r="A42" s="67"/>
      <c r="B42" s="7"/>
      <c r="C42" s="47" t="s">
        <v>52</v>
      </c>
      <c r="D42" s="43">
        <v>1</v>
      </c>
      <c r="E42" s="43">
        <v>5</v>
      </c>
      <c r="F42" s="43" t="str">
        <f>MROUND(Démarrage!N15*0.8,(Démarrage!N22))&amp;"kg"</f>
        <v>232,5kg</v>
      </c>
      <c r="G42" s="12"/>
      <c r="H42" s="27" t="s">
        <v>23</v>
      </c>
      <c r="I42" s="22">
        <v>3</v>
      </c>
      <c r="J42" s="26" t="s">
        <v>24</v>
      </c>
      <c r="K42" s="22"/>
      <c r="L42" s="12"/>
      <c r="M42" s="47" t="s">
        <v>87</v>
      </c>
      <c r="N42" s="43" t="str">
        <f>IF(Démarrage!$N$18="Femme","4","3")</f>
        <v>3</v>
      </c>
      <c r="O42" s="56" t="s">
        <v>88</v>
      </c>
      <c r="P42" s="43" t="s">
        <v>92</v>
      </c>
      <c r="Q42" s="17"/>
      <c r="R42" s="47" t="s">
        <v>29</v>
      </c>
      <c r="S42" s="44">
        <v>4</v>
      </c>
      <c r="T42" s="44">
        <v>10</v>
      </c>
      <c r="U42" s="45" t="s">
        <v>91</v>
      </c>
      <c r="V42" s="12"/>
    </row>
    <row r="43" spans="1:24" ht="16.5" thickBot="1" x14ac:dyDescent="0.35">
      <c r="A43" s="67"/>
      <c r="B43" s="28"/>
      <c r="C43" s="29" t="str">
        <f>Démarrage!R16</f>
        <v>SDT Pausé</v>
      </c>
      <c r="D43" s="30" t="s">
        <v>35</v>
      </c>
      <c r="E43" s="31">
        <v>2</v>
      </c>
      <c r="F43" s="31" t="s">
        <v>41</v>
      </c>
      <c r="G43" s="32"/>
      <c r="H43" s="48" t="s">
        <v>25</v>
      </c>
      <c r="I43" s="40">
        <v>3</v>
      </c>
      <c r="J43" s="41" t="s">
        <v>24</v>
      </c>
      <c r="K43" s="40"/>
      <c r="L43" s="32"/>
      <c r="M43" s="29" t="s">
        <v>32</v>
      </c>
      <c r="N43" s="31">
        <v>3</v>
      </c>
      <c r="O43" s="57" t="s">
        <v>24</v>
      </c>
      <c r="P43" s="58"/>
      <c r="Q43" s="33"/>
      <c r="R43" s="29" t="s">
        <v>30</v>
      </c>
      <c r="S43" s="31">
        <v>4</v>
      </c>
      <c r="T43" s="57" t="s">
        <v>31</v>
      </c>
      <c r="U43" s="59" t="s">
        <v>91</v>
      </c>
      <c r="V43" s="32"/>
    </row>
    <row r="44" spans="1:24" s="3" customFormat="1" ht="7.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s="3" customFormat="1" ht="16.5" thickBot="1" x14ac:dyDescent="0.3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25.5" customHeight="1" x14ac:dyDescent="0.3">
      <c r="A46" s="6"/>
      <c r="B46" s="52"/>
      <c r="C46" s="53" t="s">
        <v>66</v>
      </c>
      <c r="D46" s="53"/>
      <c r="E46" s="53"/>
      <c r="F46" s="53"/>
      <c r="G46" s="8" t="s">
        <v>64</v>
      </c>
      <c r="H46" s="53" t="s">
        <v>76</v>
      </c>
      <c r="I46" s="53"/>
      <c r="J46" s="53"/>
      <c r="K46" s="53"/>
      <c r="L46" s="8" t="s">
        <v>64</v>
      </c>
      <c r="M46" s="53" t="s">
        <v>80</v>
      </c>
      <c r="N46" s="53"/>
      <c r="O46" s="53"/>
      <c r="P46" s="53"/>
      <c r="Q46" s="9"/>
      <c r="R46" s="53" t="s">
        <v>81</v>
      </c>
      <c r="S46" s="53"/>
      <c r="T46" s="53"/>
      <c r="U46" s="53"/>
      <c r="V46" s="8" t="s">
        <v>64</v>
      </c>
    </row>
    <row r="47" spans="1:24" ht="1.5" customHeight="1" x14ac:dyDescent="0.3">
      <c r="A47" s="6"/>
      <c r="B47" s="7"/>
      <c r="C47" s="10"/>
      <c r="D47" s="11"/>
      <c r="E47" s="11"/>
      <c r="F47" s="11"/>
      <c r="G47" s="12"/>
      <c r="H47" s="13"/>
      <c r="I47" s="14"/>
      <c r="J47" s="14"/>
      <c r="K47" s="14"/>
      <c r="L47" s="12"/>
      <c r="M47" s="10"/>
      <c r="N47" s="11"/>
      <c r="O47" s="11"/>
      <c r="P47" s="11"/>
      <c r="Q47" s="9"/>
      <c r="R47" s="10"/>
      <c r="S47" s="11"/>
      <c r="T47" s="11"/>
      <c r="U47" s="11"/>
      <c r="V47" s="12"/>
    </row>
    <row r="48" spans="1:24" ht="18.75" customHeight="1" x14ac:dyDescent="0.3">
      <c r="A48" s="6"/>
      <c r="B48" s="7"/>
      <c r="C48" s="4" t="s">
        <v>13</v>
      </c>
      <c r="D48" s="5" t="s">
        <v>14</v>
      </c>
      <c r="E48" s="5" t="s">
        <v>15</v>
      </c>
      <c r="F48" s="5" t="s">
        <v>16</v>
      </c>
      <c r="G48" s="12"/>
      <c r="H48" s="15" t="s">
        <v>13</v>
      </c>
      <c r="I48" s="16" t="s">
        <v>14</v>
      </c>
      <c r="J48" s="16" t="s">
        <v>15</v>
      </c>
      <c r="K48" s="16" t="s">
        <v>16</v>
      </c>
      <c r="L48" s="12"/>
      <c r="M48" s="15" t="s">
        <v>13</v>
      </c>
      <c r="N48" s="16" t="s">
        <v>14</v>
      </c>
      <c r="O48" s="16" t="s">
        <v>15</v>
      </c>
      <c r="P48" s="16" t="s">
        <v>16</v>
      </c>
      <c r="Q48" s="17"/>
      <c r="R48" s="15" t="s">
        <v>13</v>
      </c>
      <c r="S48" s="16" t="s">
        <v>14</v>
      </c>
      <c r="T48" s="16" t="s">
        <v>15</v>
      </c>
      <c r="U48" s="16" t="s">
        <v>16</v>
      </c>
      <c r="V48" s="12"/>
    </row>
    <row r="49" spans="1:24" x14ac:dyDescent="0.3">
      <c r="A49" s="6"/>
      <c r="B49" s="7"/>
      <c r="C49" s="46" t="s">
        <v>1</v>
      </c>
      <c r="D49" s="43">
        <v>1</v>
      </c>
      <c r="E49" s="43">
        <v>4</v>
      </c>
      <c r="F49" s="43" t="str">
        <f>MROUND(Démarrage!N13*0.825,(Démarrage!N22))&amp;"kg"</f>
        <v>185kg</v>
      </c>
      <c r="G49" s="12"/>
      <c r="H49" s="47" t="str">
        <f>Démarrage!W20</f>
        <v>Squat Barre Haute</v>
      </c>
      <c r="I49" s="43" t="str">
        <f>IF(Démarrage!N28="Femme","3","2")</f>
        <v>2</v>
      </c>
      <c r="J49" s="43">
        <v>3</v>
      </c>
      <c r="K49" s="43" t="str">
        <f>MROUND(Démarrage!N13*0.725,(Démarrage!N22))&amp;"kg"</f>
        <v>162,5kg</v>
      </c>
      <c r="L49" s="12"/>
      <c r="M49" s="60" t="s">
        <v>93</v>
      </c>
      <c r="N49" s="61"/>
      <c r="O49" s="61"/>
      <c r="P49" s="62"/>
      <c r="Q49" s="17"/>
      <c r="R49" s="46" t="s">
        <v>1</v>
      </c>
      <c r="S49" s="43">
        <v>1</v>
      </c>
      <c r="T49" s="55" t="s">
        <v>50</v>
      </c>
      <c r="U49" s="49" t="str">
        <f>MROUND(Démarrage!N13*0.93,(Démarrage!N22))&amp;"kg"</f>
        <v>210kg</v>
      </c>
      <c r="V49" s="12"/>
    </row>
    <row r="50" spans="1:24" x14ac:dyDescent="0.3">
      <c r="A50" s="6"/>
      <c r="B50" s="7"/>
      <c r="C50" s="46"/>
      <c r="D50" s="43">
        <v>3</v>
      </c>
      <c r="E50" s="43">
        <v>4</v>
      </c>
      <c r="F50" s="43" t="str">
        <f>MROUND((Démarrage!N13*0.825)*0.9,(Démarrage!N22))&amp;"kg"</f>
        <v>167,5kg</v>
      </c>
      <c r="G50" s="12"/>
      <c r="H50" s="34" t="str">
        <f>Démarrage!W23</f>
        <v>Larsen Press prise moyenne</v>
      </c>
      <c r="I50" s="26" t="s">
        <v>20</v>
      </c>
      <c r="J50" s="22">
        <v>6</v>
      </c>
      <c r="K50" s="22" t="s">
        <v>21</v>
      </c>
      <c r="L50" s="12"/>
      <c r="M50" s="60"/>
      <c r="N50" s="61"/>
      <c r="O50" s="61"/>
      <c r="P50" s="62"/>
      <c r="Q50" s="17"/>
      <c r="R50" s="46"/>
      <c r="S50" s="43" t="s">
        <v>51</v>
      </c>
      <c r="T50" s="43" t="s">
        <v>49</v>
      </c>
      <c r="U50" s="49" t="s">
        <v>2</v>
      </c>
      <c r="V50" s="12"/>
    </row>
    <row r="51" spans="1:24" x14ac:dyDescent="0.3">
      <c r="A51" s="6"/>
      <c r="B51" s="7"/>
      <c r="C51" s="21" t="s">
        <v>17</v>
      </c>
      <c r="D51" s="22">
        <v>1</v>
      </c>
      <c r="E51" s="22">
        <v>4</v>
      </c>
      <c r="F51" s="22" t="str">
        <f>MROUND(Démarrage!N14*0.825,(Démarrage!N22))&amp;"kg"</f>
        <v>125kg</v>
      </c>
      <c r="G51" s="12"/>
      <c r="H51" s="34"/>
      <c r="I51" s="22" t="str">
        <f>IF(Démarrage!N20&gt;84,1,"1-2")</f>
        <v>1-2</v>
      </c>
      <c r="J51" s="22" t="str">
        <f>IF(Démarrage!N18="Femme","8","6")</f>
        <v>6</v>
      </c>
      <c r="K51" s="35">
        <v>-0.1</v>
      </c>
      <c r="L51" s="12"/>
      <c r="M51" s="60"/>
      <c r="N51" s="61"/>
      <c r="O51" s="61"/>
      <c r="P51" s="62"/>
      <c r="Q51" s="24"/>
      <c r="R51" s="21" t="s">
        <v>17</v>
      </c>
      <c r="S51" s="22">
        <v>1</v>
      </c>
      <c r="T51" s="26" t="s">
        <v>50</v>
      </c>
      <c r="U51" s="25" t="str">
        <f>MROUND(Démarrage!N14*0.93,(Démarrage!N22))&amp;"kg"</f>
        <v>140kg</v>
      </c>
      <c r="V51" s="12"/>
    </row>
    <row r="52" spans="1:24" ht="15.75" customHeight="1" x14ac:dyDescent="0.3">
      <c r="A52" s="67" t="s">
        <v>48</v>
      </c>
      <c r="B52" s="7"/>
      <c r="C52" s="21"/>
      <c r="D52" s="22" t="str">
        <f>IF(Démarrage!N18="Femme","4-5","4")</f>
        <v>4</v>
      </c>
      <c r="E52" s="22">
        <v>4</v>
      </c>
      <c r="F52" s="22" t="str">
        <f>MROUND((Démarrage!N14*0.825)*0.9,(Démarrage!N22))&amp;"kg"</f>
        <v>112,5kg</v>
      </c>
      <c r="G52" s="12"/>
      <c r="H52" s="43" t="s">
        <v>22</v>
      </c>
      <c r="I52" s="44" t="str">
        <f>IF(Démarrage!N62="Femme","5","4")</f>
        <v>4</v>
      </c>
      <c r="J52" s="44">
        <v>12</v>
      </c>
      <c r="K52" s="45" t="s">
        <v>21</v>
      </c>
      <c r="L52" s="12"/>
      <c r="M52" s="60"/>
      <c r="N52" s="61"/>
      <c r="O52" s="61"/>
      <c r="P52" s="62"/>
      <c r="Q52" s="24"/>
      <c r="R52" s="21"/>
      <c r="S52" s="22" t="s">
        <v>51</v>
      </c>
      <c r="T52" s="22" t="s">
        <v>49</v>
      </c>
      <c r="U52" s="25" t="s">
        <v>2</v>
      </c>
      <c r="V52" s="12"/>
    </row>
    <row r="53" spans="1:24" x14ac:dyDescent="0.3">
      <c r="A53" s="67"/>
      <c r="B53" s="7"/>
      <c r="C53" s="47" t="s">
        <v>52</v>
      </c>
      <c r="D53" s="43">
        <v>1</v>
      </c>
      <c r="E53" s="43">
        <v>4</v>
      </c>
      <c r="F53" s="43" t="str">
        <f>MROUND(Démarrage!N15*0.825,(Démarrage!N22))&amp;"kg"</f>
        <v>240kg</v>
      </c>
      <c r="G53" s="12"/>
      <c r="H53" s="27" t="s">
        <v>23</v>
      </c>
      <c r="I53" s="22">
        <v>3</v>
      </c>
      <c r="J53" s="26" t="s">
        <v>24</v>
      </c>
      <c r="K53" s="22"/>
      <c r="L53" s="12"/>
      <c r="M53" s="60"/>
      <c r="N53" s="61"/>
      <c r="O53" s="61"/>
      <c r="P53" s="62"/>
      <c r="Q53" s="17"/>
      <c r="R53" s="46" t="s">
        <v>52</v>
      </c>
      <c r="S53" s="43">
        <v>1</v>
      </c>
      <c r="T53" s="55" t="s">
        <v>50</v>
      </c>
      <c r="U53" s="49" t="str">
        <f>MROUND(Démarrage!N15*0.925,(Démarrage!N22))&amp;"kg"</f>
        <v>267,5kg</v>
      </c>
      <c r="V53" s="12"/>
    </row>
    <row r="54" spans="1:24" ht="16.5" thickBot="1" x14ac:dyDescent="0.35">
      <c r="A54" s="67"/>
      <c r="B54" s="28"/>
      <c r="C54" s="29" t="str">
        <f>Démarrage!R16</f>
        <v>SDT Pausé</v>
      </c>
      <c r="D54" s="30" t="s">
        <v>28</v>
      </c>
      <c r="E54" s="31">
        <v>2</v>
      </c>
      <c r="F54" s="31" t="s">
        <v>40</v>
      </c>
      <c r="G54" s="32"/>
      <c r="H54" s="48" t="s">
        <v>25</v>
      </c>
      <c r="I54" s="40">
        <v>3</v>
      </c>
      <c r="J54" s="41" t="s">
        <v>24</v>
      </c>
      <c r="K54" s="40"/>
      <c r="L54" s="32"/>
      <c r="M54" s="63"/>
      <c r="N54" s="64"/>
      <c r="O54" s="64"/>
      <c r="P54" s="65"/>
      <c r="Q54" s="33"/>
      <c r="R54" s="50"/>
      <c r="S54" s="40" t="s">
        <v>51</v>
      </c>
      <c r="T54" s="40" t="s">
        <v>49</v>
      </c>
      <c r="U54" s="51" t="s">
        <v>2</v>
      </c>
      <c r="V54" s="32"/>
    </row>
    <row r="55" spans="1:24" s="3" customForma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s="3" customForma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5.75" hidden="1" customHeight="1" x14ac:dyDescent="0.3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R57" s="36"/>
      <c r="S57" s="36"/>
      <c r="T57" s="36"/>
      <c r="U57" s="36"/>
      <c r="V57" s="36"/>
    </row>
    <row r="58" spans="1:24" ht="15.75" hidden="1" customHeight="1" x14ac:dyDescent="0.3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R58" s="36"/>
      <c r="S58" s="36"/>
      <c r="T58" s="36"/>
      <c r="U58" s="36"/>
      <c r="V58" s="36"/>
    </row>
    <row r="59" spans="1:24" ht="15.75" hidden="1" customHeight="1" x14ac:dyDescent="0.3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R59" s="36"/>
      <c r="S59" s="36"/>
      <c r="T59" s="36"/>
      <c r="U59" s="36"/>
      <c r="V59" s="36"/>
    </row>
    <row r="60" spans="1:24" ht="15.75" hidden="1" customHeight="1" x14ac:dyDescent="0.3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R60" s="36"/>
      <c r="S60" s="36"/>
      <c r="T60" s="36"/>
      <c r="U60" s="36"/>
      <c r="V60" s="36"/>
    </row>
    <row r="61" spans="1:24" ht="15.75" hidden="1" customHeight="1" x14ac:dyDescent="0.3">
      <c r="A61" s="36"/>
      <c r="B61" s="36"/>
      <c r="C61" s="36"/>
      <c r="D61" s="36"/>
      <c r="E61" s="36"/>
      <c r="F61" s="36"/>
      <c r="G61" s="36"/>
      <c r="H61" s="37"/>
      <c r="I61" s="37"/>
      <c r="J61" s="36"/>
      <c r="K61" s="36"/>
      <c r="L61" s="36"/>
      <c r="M61" s="36"/>
      <c r="N61" s="36"/>
      <c r="O61" s="36"/>
      <c r="P61" s="36"/>
      <c r="R61" s="36"/>
      <c r="S61" s="36"/>
      <c r="T61" s="36"/>
      <c r="U61" s="36"/>
      <c r="V61" s="36"/>
    </row>
    <row r="62" spans="1:24" ht="15.75" hidden="1" customHeight="1" x14ac:dyDescent="0.3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R62" s="36"/>
      <c r="S62" s="36"/>
      <c r="T62" s="36"/>
      <c r="U62" s="36"/>
      <c r="V62" s="36"/>
    </row>
    <row r="63" spans="1:24" ht="15.75" hidden="1" customHeight="1" x14ac:dyDescent="0.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R63" s="36"/>
      <c r="S63" s="36"/>
      <c r="T63" s="36"/>
      <c r="U63" s="36"/>
      <c r="V63" s="36"/>
    </row>
    <row r="64" spans="1:24" ht="15.75" hidden="1" customHeight="1" x14ac:dyDescent="0.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R64" s="36"/>
      <c r="S64" s="36"/>
      <c r="T64" s="36"/>
      <c r="U64" s="36"/>
      <c r="V64" s="36"/>
    </row>
    <row r="65" spans="1:22" ht="15.75" hidden="1" customHeight="1" x14ac:dyDescent="0.3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R65" s="36"/>
      <c r="S65" s="36"/>
      <c r="T65" s="36"/>
      <c r="U65" s="36"/>
      <c r="V65" s="36"/>
    </row>
    <row r="66" spans="1:22" ht="15.75" hidden="1" customHeight="1" x14ac:dyDescent="0.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R66" s="36"/>
      <c r="S66" s="36"/>
      <c r="T66" s="36"/>
      <c r="U66" s="36"/>
      <c r="V66" s="36"/>
    </row>
    <row r="67" spans="1:22" ht="15.75" hidden="1" customHeight="1" x14ac:dyDescent="0.3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R67" s="36"/>
      <c r="S67" s="36"/>
      <c r="T67" s="36"/>
      <c r="U67" s="36"/>
      <c r="V67" s="36"/>
    </row>
    <row r="68" spans="1:22" ht="15.75" hidden="1" customHeight="1" x14ac:dyDescent="0.3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R68" s="36"/>
      <c r="S68" s="36"/>
      <c r="T68" s="36"/>
      <c r="U68" s="36"/>
      <c r="V68" s="36"/>
    </row>
    <row r="69" spans="1:22" ht="15.75" hidden="1" customHeight="1" x14ac:dyDescent="0.3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R69" s="36"/>
      <c r="S69" s="36"/>
      <c r="T69" s="36"/>
      <c r="U69" s="36"/>
      <c r="V69" s="36"/>
    </row>
    <row r="70" spans="1:22" ht="15.75" hidden="1" customHeight="1" x14ac:dyDescent="0.3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R70" s="36"/>
      <c r="S70" s="36"/>
      <c r="T70" s="36"/>
      <c r="U70" s="36"/>
      <c r="V70" s="36"/>
    </row>
    <row r="71" spans="1:22" ht="15.75" hidden="1" customHeight="1" x14ac:dyDescent="0.3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R71" s="36"/>
      <c r="S71" s="36"/>
      <c r="T71" s="36"/>
      <c r="U71" s="36"/>
      <c r="V71" s="36"/>
    </row>
    <row r="72" spans="1:22" ht="15.75" hidden="1" customHeight="1" x14ac:dyDescent="0.3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R72" s="36"/>
      <c r="S72" s="36"/>
      <c r="T72" s="36"/>
      <c r="U72" s="36"/>
      <c r="V72" s="36"/>
    </row>
    <row r="73" spans="1:22" ht="15.75" hidden="1" customHeight="1" x14ac:dyDescent="0.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R73" s="36"/>
      <c r="S73" s="36"/>
      <c r="T73" s="36"/>
      <c r="U73" s="36"/>
      <c r="V73" s="36"/>
    </row>
    <row r="74" spans="1:22" ht="15.75" hidden="1" customHeight="1" x14ac:dyDescent="0.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R74" s="36"/>
      <c r="S74" s="36"/>
      <c r="T74" s="36"/>
      <c r="U74" s="36"/>
      <c r="V74" s="36"/>
    </row>
    <row r="75" spans="1:22" ht="15.75" hidden="1" customHeight="1" x14ac:dyDescent="0.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R75" s="36"/>
      <c r="S75" s="36"/>
      <c r="T75" s="36"/>
      <c r="U75" s="36"/>
      <c r="V75" s="36"/>
    </row>
    <row r="76" spans="1:22" ht="15.75" hidden="1" customHeight="1" x14ac:dyDescent="0.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R76" s="36"/>
      <c r="S76" s="36"/>
      <c r="T76" s="36"/>
      <c r="U76" s="36"/>
      <c r="V76" s="36"/>
    </row>
    <row r="77" spans="1:22" ht="15.75" hidden="1" customHeight="1" x14ac:dyDescent="0.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R77" s="36"/>
      <c r="S77" s="36"/>
      <c r="T77" s="36"/>
      <c r="U77" s="36"/>
      <c r="V77" s="36"/>
    </row>
    <row r="78" spans="1:22" ht="15.75" hidden="1" customHeight="1" x14ac:dyDescent="0.3"/>
    <row r="79" spans="1:22" ht="15.75" hidden="1" customHeight="1" x14ac:dyDescent="0.3"/>
    <row r="80" spans="1:22" ht="15.75" hidden="1" customHeight="1" x14ac:dyDescent="0.3"/>
    <row r="81" ht="15.75" hidden="1" customHeight="1" x14ac:dyDescent="0.3"/>
    <row r="82" ht="15.75" hidden="1" customHeight="1" x14ac:dyDescent="0.3"/>
    <row r="83" ht="15.75" hidden="1" customHeight="1" x14ac:dyDescent="0.3"/>
    <row r="84" ht="15.75" hidden="1" customHeight="1" x14ac:dyDescent="0.3"/>
    <row r="85" ht="15.75" hidden="1" customHeight="1" x14ac:dyDescent="0.3"/>
    <row r="86" ht="15.75" hidden="1" customHeight="1" x14ac:dyDescent="0.3"/>
    <row r="87" ht="15.75" hidden="1" customHeight="1" x14ac:dyDescent="0.3"/>
    <row r="88" ht="15.75" hidden="1" customHeight="1" x14ac:dyDescent="0.3"/>
    <row r="89" ht="15.75" hidden="1" customHeight="1" x14ac:dyDescent="0.3"/>
    <row r="90" ht="15.75" hidden="1" customHeight="1" x14ac:dyDescent="0.3"/>
    <row r="91" ht="15.75" hidden="1" customHeight="1" x14ac:dyDescent="0.3"/>
    <row r="92" ht="15.75" hidden="1" customHeight="1" x14ac:dyDescent="0.3"/>
    <row r="93" ht="15.75" hidden="1" customHeight="1" x14ac:dyDescent="0.3"/>
    <row r="94" ht="15.75" hidden="1" customHeight="1" x14ac:dyDescent="0.3"/>
    <row r="95" ht="15.75" hidden="1" customHeight="1" x14ac:dyDescent="0.3"/>
    <row r="96" ht="15.75" hidden="1" customHeight="1" x14ac:dyDescent="0.3"/>
    <row r="97" ht="15.75" hidden="1" customHeight="1" x14ac:dyDescent="0.3"/>
    <row r="98" ht="15.75" hidden="1" customHeight="1" x14ac:dyDescent="0.3"/>
    <row r="99" ht="15.75" hidden="1" customHeight="1" x14ac:dyDescent="0.3"/>
    <row r="100" ht="15.75" hidden="1" customHeight="1" x14ac:dyDescent="0.3"/>
    <row r="101" ht="15.75" hidden="1" customHeight="1" x14ac:dyDescent="0.3"/>
    <row r="102" ht="15.75" hidden="1" customHeight="1" x14ac:dyDescent="0.3"/>
    <row r="103" ht="15.75" hidden="1" customHeight="1" x14ac:dyDescent="0.3"/>
    <row r="104" ht="15.75" hidden="1" customHeight="1" x14ac:dyDescent="0.3"/>
    <row r="105" ht="15.75" hidden="1" customHeight="1" x14ac:dyDescent="0.3"/>
    <row r="106" ht="15.75" hidden="1" customHeight="1" x14ac:dyDescent="0.3"/>
    <row r="107" ht="15.75" hidden="1" customHeight="1" x14ac:dyDescent="0.3"/>
    <row r="108" ht="15.75" hidden="1" customHeight="1" x14ac:dyDescent="0.3"/>
    <row r="109" ht="15.75" hidden="1" customHeight="1" x14ac:dyDescent="0.3"/>
    <row r="110" ht="15.75" hidden="1" customHeight="1" x14ac:dyDescent="0.3"/>
    <row r="111" ht="15.75" hidden="1" customHeight="1" x14ac:dyDescent="0.3"/>
    <row r="112" ht="15.75" hidden="1" customHeight="1" x14ac:dyDescent="0.3"/>
    <row r="113" ht="15.75" hidden="1" customHeight="1" x14ac:dyDescent="0.3"/>
    <row r="114" ht="15.75" hidden="1" customHeight="1" x14ac:dyDescent="0.3"/>
    <row r="115" ht="15.75" hidden="1" customHeight="1" x14ac:dyDescent="0.3"/>
    <row r="116" ht="15.75" hidden="1" customHeight="1" x14ac:dyDescent="0.3"/>
    <row r="117" ht="15.75" hidden="1" customHeight="1" x14ac:dyDescent="0.3"/>
    <row r="118" ht="15.75" hidden="1" customHeight="1" x14ac:dyDescent="0.3"/>
    <row r="119" ht="15.75" hidden="1" customHeight="1" x14ac:dyDescent="0.3"/>
    <row r="120" ht="15.75" hidden="1" customHeight="1" x14ac:dyDescent="0.3"/>
    <row r="121" ht="15.75" hidden="1" customHeight="1" x14ac:dyDescent="0.3"/>
    <row r="122" ht="15.75" hidden="1" customHeight="1" x14ac:dyDescent="0.3"/>
    <row r="123" ht="15.75" hidden="1" customHeight="1" x14ac:dyDescent="0.3"/>
    <row r="124" ht="15.75" hidden="1" customHeight="1" x14ac:dyDescent="0.3"/>
    <row r="125" ht="15.75" hidden="1" customHeight="1" x14ac:dyDescent="0.3"/>
  </sheetData>
  <mergeCells count="71">
    <mergeCell ref="V2:V10"/>
    <mergeCell ref="V13:V21"/>
    <mergeCell ref="V24:V32"/>
    <mergeCell ref="V35:V43"/>
    <mergeCell ref="V46:V54"/>
    <mergeCell ref="C2:F2"/>
    <mergeCell ref="H2:K2"/>
    <mergeCell ref="M2:P2"/>
    <mergeCell ref="R2:U2"/>
    <mergeCell ref="C5:C6"/>
    <mergeCell ref="M5:M6"/>
    <mergeCell ref="R5:R6"/>
    <mergeCell ref="H6:H7"/>
    <mergeCell ref="C7:C8"/>
    <mergeCell ref="G2:G10"/>
    <mergeCell ref="L2:L10"/>
    <mergeCell ref="M7:M8"/>
    <mergeCell ref="C13:F13"/>
    <mergeCell ref="H13:K13"/>
    <mergeCell ref="M13:P13"/>
    <mergeCell ref="R13:U13"/>
    <mergeCell ref="G13:G21"/>
    <mergeCell ref="L13:L21"/>
    <mergeCell ref="M18:M19"/>
    <mergeCell ref="A8:A10"/>
    <mergeCell ref="A19:A21"/>
    <mergeCell ref="C16:C17"/>
    <mergeCell ref="M16:M17"/>
    <mergeCell ref="R16:R17"/>
    <mergeCell ref="H17:H18"/>
    <mergeCell ref="C18:C19"/>
    <mergeCell ref="C24:F24"/>
    <mergeCell ref="H24:K24"/>
    <mergeCell ref="M24:P24"/>
    <mergeCell ref="R24:U24"/>
    <mergeCell ref="G24:G32"/>
    <mergeCell ref="L24:L32"/>
    <mergeCell ref="M29:M30"/>
    <mergeCell ref="A30:A32"/>
    <mergeCell ref="C27:C28"/>
    <mergeCell ref="M27:M28"/>
    <mergeCell ref="R27:R28"/>
    <mergeCell ref="H28:H29"/>
    <mergeCell ref="C29:C30"/>
    <mergeCell ref="C35:F35"/>
    <mergeCell ref="H35:K35"/>
    <mergeCell ref="M35:P35"/>
    <mergeCell ref="R35:U35"/>
    <mergeCell ref="G35:G43"/>
    <mergeCell ref="L35:L43"/>
    <mergeCell ref="M40:M41"/>
    <mergeCell ref="A41:A43"/>
    <mergeCell ref="C38:C39"/>
    <mergeCell ref="M38:M39"/>
    <mergeCell ref="R38:R39"/>
    <mergeCell ref="H39:H40"/>
    <mergeCell ref="C40:C41"/>
    <mergeCell ref="C46:F46"/>
    <mergeCell ref="H46:K46"/>
    <mergeCell ref="M46:P46"/>
    <mergeCell ref="R46:U46"/>
    <mergeCell ref="G46:G54"/>
    <mergeCell ref="L46:L54"/>
    <mergeCell ref="M49:P54"/>
    <mergeCell ref="A52:A54"/>
    <mergeCell ref="R53:R54"/>
    <mergeCell ref="C49:C50"/>
    <mergeCell ref="R49:R50"/>
    <mergeCell ref="H50:H51"/>
    <mergeCell ref="C51:C52"/>
    <mergeCell ref="R51:R52"/>
  </mergeCells>
  <pageMargins left="0.7" right="0.7" top="0.75" bottom="0.75" header="0.3" footer="0.3"/>
  <ignoredErrors>
    <ignoredError sqref="I6 I17 I28 I39 I50 D54" numberStoredAsText="1"/>
    <ignoredError sqref="J9:J10 J20:J21 J31:J32 J42:J43 J53:J54 O10" twoDigitTextYear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B9B91-5BA4-4395-B5A3-0DB827E855B8}">
  <dimension ref="A1:AB125"/>
  <sheetViews>
    <sheetView showGridLines="0" workbookViewId="0">
      <selection activeCell="U51" sqref="U51"/>
    </sheetView>
  </sheetViews>
  <sheetFormatPr baseColWidth="10" defaultColWidth="0" defaultRowHeight="15.75" customHeight="1" zeroHeight="1" x14ac:dyDescent="0.3"/>
  <cols>
    <col min="1" max="1" width="22.85546875" style="38" customWidth="1"/>
    <col min="2" max="2" width="0.7109375" style="38" customWidth="1"/>
    <col min="3" max="3" width="22.85546875" style="38" customWidth="1"/>
    <col min="4" max="5" width="7.85546875" style="38" customWidth="1"/>
    <col min="6" max="6" width="11.42578125" style="38" customWidth="1"/>
    <col min="7" max="7" width="5.7109375" style="38" customWidth="1"/>
    <col min="8" max="8" width="22.85546875" style="38" customWidth="1"/>
    <col min="9" max="10" width="7.85546875" style="38" customWidth="1"/>
    <col min="11" max="11" width="11.42578125" style="38" customWidth="1"/>
    <col min="12" max="12" width="5.7109375" style="38" customWidth="1"/>
    <col min="13" max="13" width="22.85546875" style="38" customWidth="1"/>
    <col min="14" max="15" width="7.85546875" style="38" customWidth="1"/>
    <col min="16" max="16" width="11.42578125" style="38" customWidth="1"/>
    <col min="17" max="17" width="0.5703125" style="6" customWidth="1"/>
    <col min="18" max="18" width="22.85546875" style="38" customWidth="1"/>
    <col min="19" max="20" width="7.85546875" style="38" customWidth="1"/>
    <col min="21" max="21" width="11.42578125" style="38" customWidth="1"/>
    <col min="22" max="22" width="5.7109375" style="38" customWidth="1"/>
    <col min="23" max="23" width="0.7109375" style="6" customWidth="1"/>
    <col min="24" max="24" width="11.42578125" style="6" customWidth="1"/>
    <col min="25" max="27" width="11.42578125" style="3" customWidth="1"/>
    <col min="28" max="28" width="0" hidden="1" customWidth="1"/>
    <col min="29" max="16384" width="11.42578125" hidden="1"/>
  </cols>
  <sheetData>
    <row r="1" spans="1:24" ht="11.25" customHeight="1" thickBot="1" x14ac:dyDescent="0.3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R1" s="6"/>
      <c r="S1" s="6"/>
      <c r="T1" s="6"/>
      <c r="U1" s="6"/>
      <c r="V1" s="6"/>
    </row>
    <row r="2" spans="1:24" ht="25.5" customHeight="1" x14ac:dyDescent="0.3">
      <c r="A2" s="6"/>
      <c r="B2" s="52"/>
      <c r="C2" s="53" t="s">
        <v>65</v>
      </c>
      <c r="D2" s="53"/>
      <c r="E2" s="53"/>
      <c r="F2" s="53"/>
      <c r="G2" s="8" t="s">
        <v>64</v>
      </c>
      <c r="H2" s="53" t="s">
        <v>70</v>
      </c>
      <c r="I2" s="53"/>
      <c r="J2" s="53"/>
      <c r="K2" s="53"/>
      <c r="L2" s="8" t="s">
        <v>64</v>
      </c>
      <c r="M2" s="53" t="s">
        <v>71</v>
      </c>
      <c r="N2" s="53"/>
      <c r="O2" s="53"/>
      <c r="P2" s="53"/>
      <c r="Q2" s="9"/>
      <c r="R2" s="53" t="s">
        <v>72</v>
      </c>
      <c r="S2" s="53"/>
      <c r="T2" s="53"/>
      <c r="U2" s="53"/>
      <c r="V2" s="8" t="s">
        <v>64</v>
      </c>
    </row>
    <row r="3" spans="1:24" ht="1.5" customHeight="1" x14ac:dyDescent="0.3">
      <c r="A3" s="6"/>
      <c r="B3" s="7"/>
      <c r="C3" s="10"/>
      <c r="D3" s="11"/>
      <c r="E3" s="11"/>
      <c r="F3" s="11"/>
      <c r="G3" s="12"/>
      <c r="H3" s="13"/>
      <c r="I3" s="14"/>
      <c r="J3" s="14"/>
      <c r="K3" s="14"/>
      <c r="L3" s="12"/>
      <c r="M3" s="10"/>
      <c r="N3" s="11"/>
      <c r="O3" s="11"/>
      <c r="P3" s="11"/>
      <c r="Q3" s="9"/>
      <c r="R3" s="10"/>
      <c r="S3" s="11"/>
      <c r="T3" s="11"/>
      <c r="U3" s="11"/>
      <c r="V3" s="12"/>
    </row>
    <row r="4" spans="1:24" ht="18.75" customHeight="1" x14ac:dyDescent="0.3">
      <c r="A4" s="6"/>
      <c r="B4" s="7"/>
      <c r="C4" s="4" t="s">
        <v>13</v>
      </c>
      <c r="D4" s="5" t="s">
        <v>14</v>
      </c>
      <c r="E4" s="5" t="s">
        <v>15</v>
      </c>
      <c r="F4" s="5" t="s">
        <v>16</v>
      </c>
      <c r="G4" s="12"/>
      <c r="H4" s="15" t="s">
        <v>13</v>
      </c>
      <c r="I4" s="16" t="s">
        <v>14</v>
      </c>
      <c r="J4" s="16" t="s">
        <v>15</v>
      </c>
      <c r="K4" s="16" t="s">
        <v>16</v>
      </c>
      <c r="L4" s="12"/>
      <c r="M4" s="15" t="s">
        <v>13</v>
      </c>
      <c r="N4" s="16" t="s">
        <v>14</v>
      </c>
      <c r="O4" s="16" t="s">
        <v>15</v>
      </c>
      <c r="P4" s="16" t="s">
        <v>16</v>
      </c>
      <c r="Q4" s="17"/>
      <c r="R4" s="15" t="s">
        <v>13</v>
      </c>
      <c r="S4" s="16" t="s">
        <v>14</v>
      </c>
      <c r="T4" s="16" t="s">
        <v>15</v>
      </c>
      <c r="U4" s="16" t="s">
        <v>16</v>
      </c>
      <c r="V4" s="12"/>
    </row>
    <row r="5" spans="1:24" x14ac:dyDescent="0.3">
      <c r="A5" s="6"/>
      <c r="B5" s="7"/>
      <c r="C5" s="46" t="s">
        <v>1</v>
      </c>
      <c r="D5" s="44">
        <v>1</v>
      </c>
      <c r="E5" s="44">
        <v>8</v>
      </c>
      <c r="F5" s="44" t="str">
        <f>MROUND(Démarrage!N13*0.725,(Démarrage!N22))&amp;"kg"</f>
        <v>162,5kg</v>
      </c>
      <c r="G5" s="12"/>
      <c r="H5" s="43" t="str">
        <f>Démarrage!W20</f>
        <v>Squat Barre Haute</v>
      </c>
      <c r="I5" s="43" t="str">
        <f>IF(Démarrage!$N$18="Femme","5","4")</f>
        <v>4</v>
      </c>
      <c r="J5" s="44">
        <v>6</v>
      </c>
      <c r="K5" s="44" t="str">
        <f>MROUND(Démarrage!N13*0.625,(Démarrage!N22))&amp;"kg"</f>
        <v>140kg</v>
      </c>
      <c r="L5" s="12"/>
      <c r="M5" s="46" t="s">
        <v>1</v>
      </c>
      <c r="N5" s="44">
        <v>1</v>
      </c>
      <c r="O5" s="44">
        <v>4</v>
      </c>
      <c r="P5" s="49" t="str">
        <f>MROUND(Démarrage!$N$13*0.83,(Démarrage!$N$22))&amp;"kg"</f>
        <v>187,5kg</v>
      </c>
      <c r="Q5" s="54"/>
      <c r="R5" s="46" t="s">
        <v>52</v>
      </c>
      <c r="S5" s="43">
        <v>1</v>
      </c>
      <c r="T5" s="43">
        <v>4</v>
      </c>
      <c r="U5" s="43" t="str">
        <f>MROUND(Démarrage!$N$15*0.825,(Démarrage!$N$22))&amp;"kg"</f>
        <v>240kg</v>
      </c>
      <c r="V5" s="12"/>
    </row>
    <row r="6" spans="1:24" x14ac:dyDescent="0.3">
      <c r="A6" s="6"/>
      <c r="B6" s="7"/>
      <c r="C6" s="46"/>
      <c r="D6" s="44">
        <v>3</v>
      </c>
      <c r="E6" s="44">
        <v>8</v>
      </c>
      <c r="F6" s="44" t="str">
        <f>MROUND((Démarrage!N13*0.725)*0.9,(Démarrage!N22))&amp;"kg"</f>
        <v>147,5kg</v>
      </c>
      <c r="G6" s="12"/>
      <c r="H6" s="18" t="str">
        <f>Démarrage!W23</f>
        <v>Larsen Press prise moyenne</v>
      </c>
      <c r="I6" s="19" t="s">
        <v>20</v>
      </c>
      <c r="J6" s="20">
        <v>10</v>
      </c>
      <c r="K6" s="20" t="s">
        <v>21</v>
      </c>
      <c r="L6" s="12"/>
      <c r="M6" s="46"/>
      <c r="N6" s="44">
        <v>3</v>
      </c>
      <c r="O6" s="44">
        <v>5</v>
      </c>
      <c r="P6" s="49" t="str">
        <f>MROUND((Démarrage!$N$13*0.83)*0.875,(Démarrage!$N$22))&amp;"kg"</f>
        <v>162,5kg</v>
      </c>
      <c r="Q6" s="54"/>
      <c r="R6" s="46"/>
      <c r="S6" s="43">
        <f>IF(Démarrage!N15&gt;84,2,3)</f>
        <v>2</v>
      </c>
      <c r="T6" s="55" t="s">
        <v>42</v>
      </c>
      <c r="U6" s="43" t="str">
        <f>MROUND((Démarrage!$N$15*0.825)*0.85,(Démarrage!$N$22))&amp;"kg"</f>
        <v>202,5kg</v>
      </c>
      <c r="V6" s="12"/>
    </row>
    <row r="7" spans="1:24" x14ac:dyDescent="0.3">
      <c r="A7" s="6"/>
      <c r="B7" s="7"/>
      <c r="C7" s="21" t="s">
        <v>17</v>
      </c>
      <c r="D7" s="20">
        <v>1</v>
      </c>
      <c r="E7" s="20">
        <v>8</v>
      </c>
      <c r="F7" s="20" t="str">
        <f>MROUND(Démarrage!N14*0.725,(Démarrage!N22))&amp;"kg"</f>
        <v>110kg</v>
      </c>
      <c r="G7" s="12"/>
      <c r="H7" s="18"/>
      <c r="I7" s="22" t="str">
        <f>IF(Démarrage!N20&gt;84,2,"3")</f>
        <v>3</v>
      </c>
      <c r="J7" s="22" t="str">
        <f>IF(Démarrage!N18="Femme","12","10")</f>
        <v>10</v>
      </c>
      <c r="K7" s="23">
        <v>-0.1</v>
      </c>
      <c r="L7" s="12"/>
      <c r="M7" s="21" t="s">
        <v>17</v>
      </c>
      <c r="N7" s="20">
        <v>1</v>
      </c>
      <c r="O7" s="20">
        <v>4</v>
      </c>
      <c r="P7" s="25" t="str">
        <f>MROUND(Démarrage!$N$14*0.825,(Démarrage!$N$22))&amp;"kg"</f>
        <v>125kg</v>
      </c>
      <c r="Q7" s="24"/>
      <c r="R7" s="27" t="str">
        <f>IF(Démarrage!$AE$25="P","Tempo 4:2:0 Bench",IF(Démarrage!$AE$25="T","Triple Pause Bench","T-Shirt Pause Bench"))</f>
        <v>Tempo 4:2:0 Bench</v>
      </c>
      <c r="S7" s="20">
        <v>1</v>
      </c>
      <c r="T7" s="20">
        <v>2</v>
      </c>
      <c r="U7" s="20" t="str">
        <f>MROUND(Démarrage!$N$14*0.8,(Démarrage!$N$22))&amp;"kg"</f>
        <v>120kg</v>
      </c>
      <c r="V7" s="12"/>
    </row>
    <row r="8" spans="1:24" ht="15.75" customHeight="1" x14ac:dyDescent="0.3">
      <c r="A8" s="67" t="s">
        <v>18</v>
      </c>
      <c r="B8" s="7"/>
      <c r="C8" s="21"/>
      <c r="D8" s="22" t="str">
        <f>IF(Démarrage!N18="Femme","4-5","4")</f>
        <v>4</v>
      </c>
      <c r="E8" s="20">
        <v>8</v>
      </c>
      <c r="F8" s="20" t="str">
        <f>MROUND((Démarrage!N14*0.725)*0.9,(Démarrage!N22))&amp;"kg"</f>
        <v>97,5kg</v>
      </c>
      <c r="G8" s="12"/>
      <c r="H8" s="43" t="s">
        <v>22</v>
      </c>
      <c r="I8" s="44" t="str">
        <f>IF(Démarrage!N18="Femme","5","4")</f>
        <v>4</v>
      </c>
      <c r="J8" s="44">
        <v>12</v>
      </c>
      <c r="K8" s="45" t="s">
        <v>21</v>
      </c>
      <c r="L8" s="12"/>
      <c r="M8" s="21"/>
      <c r="N8" s="22">
        <f>IF(Démarrage!$I$20&gt;94,3,4)</f>
        <v>4</v>
      </c>
      <c r="O8" s="20">
        <v>5</v>
      </c>
      <c r="P8" s="25" t="str">
        <f>MROUND((Démarrage!$N$14*0.825)*0.9,(Démarrage!$N$22))&amp;"kg"</f>
        <v>112,5kg</v>
      </c>
      <c r="Q8" s="24"/>
      <c r="R8" s="27" t="s">
        <v>89</v>
      </c>
      <c r="S8" s="20">
        <v>3</v>
      </c>
      <c r="T8" s="22">
        <f>IF(Démarrage!S8="Femme",7,6)</f>
        <v>6</v>
      </c>
      <c r="U8" s="20" t="str">
        <f>MROUND(Démarrage!$N$14*0.68,(Démarrage!$N$22))&amp;"kg"</f>
        <v>102,5kg</v>
      </c>
      <c r="V8" s="12"/>
    </row>
    <row r="9" spans="1:24" x14ac:dyDescent="0.3">
      <c r="A9" s="67"/>
      <c r="B9" s="7"/>
      <c r="C9" s="47" t="s">
        <v>52</v>
      </c>
      <c r="D9" s="43">
        <v>1</v>
      </c>
      <c r="E9" s="43">
        <v>8</v>
      </c>
      <c r="F9" s="43" t="str">
        <f>MROUND(Démarrage!N15*0.725,(Démarrage!N22))&amp;"kg"</f>
        <v>210kg</v>
      </c>
      <c r="G9" s="12"/>
      <c r="H9" s="22" t="s">
        <v>23</v>
      </c>
      <c r="I9" s="22">
        <v>4</v>
      </c>
      <c r="J9" s="26" t="s">
        <v>24</v>
      </c>
      <c r="K9" s="22"/>
      <c r="L9" s="12"/>
      <c r="M9" s="47" t="s">
        <v>87</v>
      </c>
      <c r="N9" s="43" t="str">
        <f>IF(Démarrage!$N$18="Femme","4","3")</f>
        <v>3</v>
      </c>
      <c r="O9" s="56" t="s">
        <v>88</v>
      </c>
      <c r="P9" s="43" t="s">
        <v>21</v>
      </c>
      <c r="Q9" s="17"/>
      <c r="R9" s="47" t="s">
        <v>29</v>
      </c>
      <c r="S9" s="44">
        <v>4</v>
      </c>
      <c r="T9" s="44">
        <v>10</v>
      </c>
      <c r="U9" s="45" t="s">
        <v>21</v>
      </c>
      <c r="V9" s="12"/>
    </row>
    <row r="10" spans="1:24" ht="17.25" thickBot="1" x14ac:dyDescent="0.35">
      <c r="A10" s="67"/>
      <c r="B10" s="28"/>
      <c r="C10" s="29" t="str">
        <f>Démarrage!$W$16</f>
        <v>Sumo Pausé</v>
      </c>
      <c r="D10" s="30" t="s">
        <v>19</v>
      </c>
      <c r="E10" s="31">
        <v>4</v>
      </c>
      <c r="F10" s="31" t="s">
        <v>36</v>
      </c>
      <c r="G10" s="32"/>
      <c r="H10" s="39" t="s">
        <v>25</v>
      </c>
      <c r="I10" s="40">
        <v>4</v>
      </c>
      <c r="J10" s="41" t="s">
        <v>24</v>
      </c>
      <c r="K10" s="42"/>
      <c r="L10" s="32"/>
      <c r="M10" s="29" t="s">
        <v>32</v>
      </c>
      <c r="N10" s="31">
        <v>3</v>
      </c>
      <c r="O10" s="57" t="s">
        <v>24</v>
      </c>
      <c r="P10" s="58"/>
      <c r="Q10" s="3"/>
      <c r="R10" s="29" t="s">
        <v>30</v>
      </c>
      <c r="S10" s="31">
        <v>4</v>
      </c>
      <c r="T10" s="57" t="s">
        <v>31</v>
      </c>
      <c r="U10" s="59" t="s">
        <v>21</v>
      </c>
      <c r="V10" s="32"/>
    </row>
    <row r="11" spans="1:24" s="3" customFormat="1" ht="7.5" customHeight="1" x14ac:dyDescent="0.3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R11" s="6"/>
      <c r="S11" s="6"/>
      <c r="T11" s="6"/>
      <c r="U11" s="6"/>
      <c r="V11" s="6"/>
      <c r="W11" s="6"/>
      <c r="X11" s="6"/>
    </row>
    <row r="12" spans="1:24" s="3" customFormat="1" ht="16.5" thickBot="1" x14ac:dyDescent="0.3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R12" s="6"/>
      <c r="S12" s="6"/>
      <c r="T12" s="6"/>
      <c r="U12" s="6"/>
      <c r="V12" s="6"/>
      <c r="W12" s="6"/>
      <c r="X12" s="6"/>
    </row>
    <row r="13" spans="1:24" ht="25.5" customHeight="1" x14ac:dyDescent="0.3">
      <c r="A13" s="6"/>
      <c r="B13" s="52"/>
      <c r="C13" s="53" t="s">
        <v>69</v>
      </c>
      <c r="D13" s="53"/>
      <c r="E13" s="53"/>
      <c r="F13" s="53"/>
      <c r="G13" s="8" t="s">
        <v>64</v>
      </c>
      <c r="H13" s="53" t="s">
        <v>73</v>
      </c>
      <c r="I13" s="53"/>
      <c r="J13" s="53"/>
      <c r="K13" s="53"/>
      <c r="L13" s="8" t="s">
        <v>64</v>
      </c>
      <c r="M13" s="53" t="s">
        <v>77</v>
      </c>
      <c r="N13" s="53"/>
      <c r="O13" s="53"/>
      <c r="P13" s="53"/>
      <c r="Q13" s="9"/>
      <c r="R13" s="53" t="s">
        <v>84</v>
      </c>
      <c r="S13" s="53"/>
      <c r="T13" s="53"/>
      <c r="U13" s="53"/>
      <c r="V13" s="8" t="s">
        <v>64</v>
      </c>
    </row>
    <row r="14" spans="1:24" ht="1.5" customHeight="1" x14ac:dyDescent="0.3">
      <c r="A14" s="6"/>
      <c r="B14" s="7"/>
      <c r="C14" s="10"/>
      <c r="D14" s="11"/>
      <c r="E14" s="11"/>
      <c r="F14" s="11"/>
      <c r="G14" s="12"/>
      <c r="H14" s="13"/>
      <c r="I14" s="14"/>
      <c r="J14" s="14"/>
      <c r="K14" s="14"/>
      <c r="L14" s="12"/>
      <c r="M14" s="10"/>
      <c r="N14" s="11"/>
      <c r="O14" s="11"/>
      <c r="P14" s="11"/>
      <c r="Q14" s="9"/>
      <c r="R14" s="10"/>
      <c r="S14" s="11"/>
      <c r="T14" s="11"/>
      <c r="U14" s="11"/>
      <c r="V14" s="12"/>
    </row>
    <row r="15" spans="1:24" ht="18.75" customHeight="1" x14ac:dyDescent="0.3">
      <c r="A15" s="6"/>
      <c r="B15" s="7"/>
      <c r="C15" s="4" t="s">
        <v>13</v>
      </c>
      <c r="D15" s="5" t="s">
        <v>14</v>
      </c>
      <c r="E15" s="5" t="s">
        <v>15</v>
      </c>
      <c r="F15" s="5" t="s">
        <v>16</v>
      </c>
      <c r="G15" s="12"/>
      <c r="H15" s="15" t="s">
        <v>13</v>
      </c>
      <c r="I15" s="16" t="s">
        <v>14</v>
      </c>
      <c r="J15" s="16" t="s">
        <v>15</v>
      </c>
      <c r="K15" s="16" t="s">
        <v>16</v>
      </c>
      <c r="L15" s="12"/>
      <c r="M15" s="15" t="s">
        <v>13</v>
      </c>
      <c r="N15" s="16" t="s">
        <v>14</v>
      </c>
      <c r="O15" s="16" t="s">
        <v>15</v>
      </c>
      <c r="P15" s="16" t="s">
        <v>16</v>
      </c>
      <c r="Q15" s="17"/>
      <c r="R15" s="15" t="s">
        <v>13</v>
      </c>
      <c r="S15" s="16" t="s">
        <v>14</v>
      </c>
      <c r="T15" s="16" t="s">
        <v>15</v>
      </c>
      <c r="U15" s="16" t="s">
        <v>16</v>
      </c>
      <c r="V15" s="12"/>
    </row>
    <row r="16" spans="1:24" x14ac:dyDescent="0.3">
      <c r="A16" s="6"/>
      <c r="B16" s="7"/>
      <c r="C16" s="46" t="s">
        <v>1</v>
      </c>
      <c r="D16" s="44">
        <v>1</v>
      </c>
      <c r="E16" s="44">
        <v>7</v>
      </c>
      <c r="F16" s="44" t="str">
        <f>MROUND(Démarrage!N13*0.75,(Démarrage!N22))&amp;"kg"</f>
        <v>170kg</v>
      </c>
      <c r="G16" s="12"/>
      <c r="H16" s="47" t="str">
        <f>Démarrage!W20</f>
        <v>Squat Barre Haute</v>
      </c>
      <c r="I16" s="43" t="str">
        <f>IF(Démarrage!N18="Femme","4-5","3-4")</f>
        <v>3-4</v>
      </c>
      <c r="J16" s="44">
        <v>6</v>
      </c>
      <c r="K16" s="44" t="str">
        <f>MROUND(Démarrage!N13*0.65,(Démarrage!N22))&amp;"kg"</f>
        <v>147,5kg</v>
      </c>
      <c r="L16" s="12"/>
      <c r="M16" s="46" t="s">
        <v>1</v>
      </c>
      <c r="N16" s="44">
        <v>1</v>
      </c>
      <c r="O16" s="44">
        <v>3</v>
      </c>
      <c r="P16" s="49" t="str">
        <f>MROUND(Démarrage!$N$13*0.86,(Démarrage!$N$22))&amp;"kg"</f>
        <v>192,5kg</v>
      </c>
      <c r="Q16" s="17"/>
      <c r="R16" s="46" t="s">
        <v>52</v>
      </c>
      <c r="S16" s="43">
        <v>1</v>
      </c>
      <c r="T16" s="43">
        <v>3</v>
      </c>
      <c r="U16" s="43" t="str">
        <f>MROUND(Démarrage!$N$15*0.85,(Démarrage!$N$22))&amp;"kg"</f>
        <v>247,5kg</v>
      </c>
      <c r="V16" s="12"/>
    </row>
    <row r="17" spans="1:24" x14ac:dyDescent="0.3">
      <c r="A17" s="6"/>
      <c r="B17" s="7"/>
      <c r="C17" s="46"/>
      <c r="D17" s="44">
        <v>3</v>
      </c>
      <c r="E17" s="44">
        <v>7</v>
      </c>
      <c r="F17" s="44" t="str">
        <f>MROUND((Démarrage!N13*0.75)*0.9,(Démarrage!N22))&amp;"kg"</f>
        <v>152,5kg</v>
      </c>
      <c r="G17" s="12"/>
      <c r="H17" s="34" t="str">
        <f>Démarrage!W23</f>
        <v>Larsen Press prise moyenne</v>
      </c>
      <c r="I17" s="19" t="s">
        <v>20</v>
      </c>
      <c r="J17" s="20">
        <v>9</v>
      </c>
      <c r="K17" s="20" t="s">
        <v>21</v>
      </c>
      <c r="L17" s="12"/>
      <c r="M17" s="46"/>
      <c r="N17" s="44">
        <v>3</v>
      </c>
      <c r="O17" s="44">
        <v>4</v>
      </c>
      <c r="P17" s="49" t="str">
        <f>MROUND((Démarrage!$N$13*0.86)*0.875,(Démarrage!$N$22))&amp;"kg"</f>
        <v>170kg</v>
      </c>
      <c r="Q17" s="17"/>
      <c r="R17" s="46"/>
      <c r="S17" s="43">
        <v>4</v>
      </c>
      <c r="T17" s="55" t="s">
        <v>27</v>
      </c>
      <c r="U17" s="43" t="str">
        <f>MROUND((Démarrage!$N$15*0.85)*0.85,(Démarrage!$N$22))&amp;"kg"</f>
        <v>210kg</v>
      </c>
      <c r="V17" s="12"/>
    </row>
    <row r="18" spans="1:24" x14ac:dyDescent="0.3">
      <c r="A18" s="6"/>
      <c r="B18" s="7"/>
      <c r="C18" s="21" t="s">
        <v>17</v>
      </c>
      <c r="D18" s="20">
        <v>1</v>
      </c>
      <c r="E18" s="20">
        <v>7</v>
      </c>
      <c r="F18" s="20" t="str">
        <f>MROUND(Démarrage!N14*0.75,(Démarrage!N22))&amp;"kg"</f>
        <v>112,5kg</v>
      </c>
      <c r="G18" s="12"/>
      <c r="H18" s="34"/>
      <c r="I18" s="22" t="str">
        <f>IF(Démarrage!N20&gt;84,2,"2-3")</f>
        <v>2-3</v>
      </c>
      <c r="J18" s="22" t="str">
        <f>IF(Démarrage!N18="Femme","11","9")</f>
        <v>9</v>
      </c>
      <c r="K18" s="23">
        <v>-0.1</v>
      </c>
      <c r="L18" s="12"/>
      <c r="M18" s="21" t="s">
        <v>17</v>
      </c>
      <c r="N18" s="20">
        <v>1</v>
      </c>
      <c r="O18" s="20">
        <v>3</v>
      </c>
      <c r="P18" s="25" t="str">
        <f>MROUND(Démarrage!$N$14*0.86,(Démarrage!$N$22))&amp;"kg"</f>
        <v>130kg</v>
      </c>
      <c r="Q18" s="24"/>
      <c r="R18" s="27" t="str">
        <f>IF(Démarrage!$AE$25="P","Tempo 4:2:0 Bench",IF(Démarrage!$AE$25="T","Triple Pause Bench","T-Shirt Pause Bench"))</f>
        <v>Tempo 4:2:0 Bench</v>
      </c>
      <c r="S18" s="20">
        <v>1</v>
      </c>
      <c r="T18" s="20">
        <v>2</v>
      </c>
      <c r="U18" s="20" t="str">
        <f>MROUND(Démarrage!$N$14*0.82,(Démarrage!$N$22))&amp;"kg"</f>
        <v>122,5kg</v>
      </c>
      <c r="V18" s="12"/>
    </row>
    <row r="19" spans="1:24" ht="15.75" customHeight="1" x14ac:dyDescent="0.3">
      <c r="A19" s="67" t="s">
        <v>33</v>
      </c>
      <c r="B19" s="7"/>
      <c r="C19" s="21"/>
      <c r="D19" s="22" t="str">
        <f>IF(Démarrage!N18="Femme","4-5","4")</f>
        <v>4</v>
      </c>
      <c r="E19" s="20">
        <v>7</v>
      </c>
      <c r="F19" s="20" t="str">
        <f>MROUND((Démarrage!N14*0.75)*0.9,(Démarrage!N22))&amp;"kg"</f>
        <v>102,5kg</v>
      </c>
      <c r="G19" s="12"/>
      <c r="H19" s="43" t="s">
        <v>22</v>
      </c>
      <c r="I19" s="44" t="str">
        <f>IF(Démarrage!N29="Femme","5","4")</f>
        <v>4</v>
      </c>
      <c r="J19" s="44">
        <v>12</v>
      </c>
      <c r="K19" s="45" t="s">
        <v>90</v>
      </c>
      <c r="L19" s="12"/>
      <c r="M19" s="21"/>
      <c r="N19" s="22">
        <f>IF(Démarrage!$I$20&gt;94,3,4)</f>
        <v>4</v>
      </c>
      <c r="O19" s="20">
        <v>4</v>
      </c>
      <c r="P19" s="25" t="str">
        <f>MROUND((Démarrage!$N$14*0.86)*0.9,(Démarrage!$N$22))&amp;"kg"</f>
        <v>115kg</v>
      </c>
      <c r="Q19" s="24"/>
      <c r="R19" s="27" t="s">
        <v>89</v>
      </c>
      <c r="S19" s="20">
        <v>3</v>
      </c>
      <c r="T19" s="22">
        <f>IF(Démarrage!S20="Femme",7,6)</f>
        <v>6</v>
      </c>
      <c r="U19" s="20" t="str">
        <f>MROUND(Démarrage!$N$14*0.7,(Démarrage!$N$22))&amp;"kg"</f>
        <v>105kg</v>
      </c>
      <c r="V19" s="12"/>
    </row>
    <row r="20" spans="1:24" x14ac:dyDescent="0.3">
      <c r="A20" s="67"/>
      <c r="B20" s="7"/>
      <c r="C20" s="47" t="s">
        <v>52</v>
      </c>
      <c r="D20" s="43">
        <v>1</v>
      </c>
      <c r="E20" s="43">
        <v>7</v>
      </c>
      <c r="F20" s="43" t="str">
        <f>MROUND(Démarrage!N15*0.75,(Démarrage!N22))&amp;"kg"</f>
        <v>217,5kg</v>
      </c>
      <c r="G20" s="12"/>
      <c r="H20" s="27" t="s">
        <v>23</v>
      </c>
      <c r="I20" s="22">
        <v>4</v>
      </c>
      <c r="J20" s="26" t="s">
        <v>24</v>
      </c>
      <c r="K20" s="22"/>
      <c r="L20" s="12"/>
      <c r="M20" s="47" t="s">
        <v>87</v>
      </c>
      <c r="N20" s="43" t="str">
        <f>IF(Démarrage!$N$18="Femme","4","3")</f>
        <v>3</v>
      </c>
      <c r="O20" s="56" t="s">
        <v>88</v>
      </c>
      <c r="P20" s="43" t="s">
        <v>90</v>
      </c>
      <c r="Q20" s="17"/>
      <c r="R20" s="47" t="s">
        <v>29</v>
      </c>
      <c r="S20" s="44">
        <v>4</v>
      </c>
      <c r="T20" s="44">
        <v>10</v>
      </c>
      <c r="U20" s="45" t="s">
        <v>90</v>
      </c>
      <c r="V20" s="12"/>
    </row>
    <row r="21" spans="1:24" ht="16.5" thickBot="1" x14ac:dyDescent="0.35">
      <c r="A21" s="67"/>
      <c r="B21" s="28"/>
      <c r="C21" s="29" t="str">
        <f>Démarrage!$W$16</f>
        <v>Sumo Pausé</v>
      </c>
      <c r="D21" s="30" t="s">
        <v>19</v>
      </c>
      <c r="E21" s="31">
        <v>3</v>
      </c>
      <c r="F21" s="31" t="s">
        <v>37</v>
      </c>
      <c r="G21" s="32"/>
      <c r="H21" s="48" t="s">
        <v>25</v>
      </c>
      <c r="I21" s="40">
        <v>4</v>
      </c>
      <c r="J21" s="41" t="s">
        <v>24</v>
      </c>
      <c r="K21" s="40"/>
      <c r="L21" s="32"/>
      <c r="M21" s="29" t="s">
        <v>32</v>
      </c>
      <c r="N21" s="31">
        <v>3</v>
      </c>
      <c r="O21" s="57" t="s">
        <v>24</v>
      </c>
      <c r="P21" s="58"/>
      <c r="Q21" s="33"/>
      <c r="R21" s="29" t="s">
        <v>30</v>
      </c>
      <c r="S21" s="31">
        <v>4</v>
      </c>
      <c r="T21" s="57" t="s">
        <v>31</v>
      </c>
      <c r="U21" s="59" t="s">
        <v>90</v>
      </c>
      <c r="V21" s="32"/>
    </row>
    <row r="22" spans="1:24" s="3" customFormat="1" ht="7.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s="3" customFormat="1" ht="16.5" thickBot="1" x14ac:dyDescent="0.3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25.5" customHeight="1" x14ac:dyDescent="0.3">
      <c r="A24" s="6"/>
      <c r="B24" s="52"/>
      <c r="C24" s="53" t="s">
        <v>68</v>
      </c>
      <c r="D24" s="53"/>
      <c r="E24" s="53"/>
      <c r="F24" s="53"/>
      <c r="G24" s="8" t="s">
        <v>64</v>
      </c>
      <c r="H24" s="53" t="s">
        <v>74</v>
      </c>
      <c r="I24" s="53"/>
      <c r="J24" s="53"/>
      <c r="K24" s="53"/>
      <c r="L24" s="8" t="s">
        <v>64</v>
      </c>
      <c r="M24" s="53" t="s">
        <v>78</v>
      </c>
      <c r="N24" s="53"/>
      <c r="O24" s="53"/>
      <c r="P24" s="53"/>
      <c r="Q24" s="9"/>
      <c r="R24" s="53" t="s">
        <v>83</v>
      </c>
      <c r="S24" s="53"/>
      <c r="T24" s="53"/>
      <c r="U24" s="53"/>
      <c r="V24" s="8" t="s">
        <v>64</v>
      </c>
    </row>
    <row r="25" spans="1:24" ht="1.5" customHeight="1" x14ac:dyDescent="0.3">
      <c r="A25" s="6"/>
      <c r="B25" s="7"/>
      <c r="C25" s="10"/>
      <c r="D25" s="11"/>
      <c r="E25" s="11"/>
      <c r="F25" s="11"/>
      <c r="G25" s="12"/>
      <c r="H25" s="13"/>
      <c r="I25" s="14"/>
      <c r="J25" s="14"/>
      <c r="K25" s="14"/>
      <c r="L25" s="12"/>
      <c r="M25" s="10"/>
      <c r="N25" s="11"/>
      <c r="O25" s="11"/>
      <c r="P25" s="11"/>
      <c r="Q25" s="9"/>
      <c r="R25" s="10"/>
      <c r="S25" s="11"/>
      <c r="T25" s="11"/>
      <c r="U25" s="11"/>
      <c r="V25" s="12"/>
    </row>
    <row r="26" spans="1:24" ht="18.75" customHeight="1" x14ac:dyDescent="0.3">
      <c r="A26" s="6"/>
      <c r="B26" s="7"/>
      <c r="C26" s="4" t="s">
        <v>13</v>
      </c>
      <c r="D26" s="5" t="s">
        <v>14</v>
      </c>
      <c r="E26" s="5" t="s">
        <v>15</v>
      </c>
      <c r="F26" s="5" t="s">
        <v>16</v>
      </c>
      <c r="G26" s="12"/>
      <c r="H26" s="15" t="s">
        <v>13</v>
      </c>
      <c r="I26" s="16" t="s">
        <v>14</v>
      </c>
      <c r="J26" s="16" t="s">
        <v>15</v>
      </c>
      <c r="K26" s="16" t="s">
        <v>16</v>
      </c>
      <c r="L26" s="12"/>
      <c r="M26" s="15" t="s">
        <v>13</v>
      </c>
      <c r="N26" s="16" t="s">
        <v>14</v>
      </c>
      <c r="O26" s="16" t="s">
        <v>15</v>
      </c>
      <c r="P26" s="16" t="s">
        <v>16</v>
      </c>
      <c r="Q26" s="17"/>
      <c r="R26" s="15" t="s">
        <v>13</v>
      </c>
      <c r="S26" s="16" t="s">
        <v>14</v>
      </c>
      <c r="T26" s="16" t="s">
        <v>15</v>
      </c>
      <c r="U26" s="16" t="s">
        <v>16</v>
      </c>
      <c r="V26" s="12"/>
    </row>
    <row r="27" spans="1:24" x14ac:dyDescent="0.3">
      <c r="A27" s="6"/>
      <c r="B27" s="7"/>
      <c r="C27" s="46" t="s">
        <v>1</v>
      </c>
      <c r="D27" s="44">
        <v>1</v>
      </c>
      <c r="E27" s="44">
        <v>6</v>
      </c>
      <c r="F27" s="44" t="str">
        <f>MROUND(Démarrage!N13*0.775,(Démarrage!N22))&amp;"kg"</f>
        <v>175kg</v>
      </c>
      <c r="G27" s="12"/>
      <c r="H27" s="47" t="str">
        <f>Démarrage!W20</f>
        <v>Squat Barre Haute</v>
      </c>
      <c r="I27" s="43" t="str">
        <f>IF(Démarrage!N18="Femme","4","3")</f>
        <v>3</v>
      </c>
      <c r="J27" s="44">
        <v>5</v>
      </c>
      <c r="K27" s="44" t="str">
        <f>MROUND(Démarrage!N13*0.675,(Démarrage!N22))&amp;"kg"</f>
        <v>152,5kg</v>
      </c>
      <c r="L27" s="12"/>
      <c r="M27" s="46" t="s">
        <v>1</v>
      </c>
      <c r="N27" s="44">
        <v>1</v>
      </c>
      <c r="O27" s="44">
        <v>2</v>
      </c>
      <c r="P27" s="49" t="str">
        <f>MROUND(Démarrage!$N$13*0.89,(Démarrage!$N$22))&amp;"kg"</f>
        <v>200kg</v>
      </c>
      <c r="Q27" s="17"/>
      <c r="R27" s="46" t="s">
        <v>52</v>
      </c>
      <c r="S27" s="43">
        <v>1</v>
      </c>
      <c r="T27" s="43">
        <v>2</v>
      </c>
      <c r="U27" s="43" t="str">
        <f>MROUND(Démarrage!$N$15*0.875,(Démarrage!$N$22))&amp;"kg"</f>
        <v>255kg</v>
      </c>
      <c r="V27" s="12"/>
    </row>
    <row r="28" spans="1:24" x14ac:dyDescent="0.3">
      <c r="A28" s="6"/>
      <c r="B28" s="7"/>
      <c r="C28" s="46"/>
      <c r="D28" s="44">
        <v>3</v>
      </c>
      <c r="E28" s="44">
        <v>6</v>
      </c>
      <c r="F28" s="44" t="str">
        <f>MROUND((Démarrage!N13*0.775)*0.9,(Démarrage!N22))&amp;"kg"</f>
        <v>157,5kg</v>
      </c>
      <c r="G28" s="12"/>
      <c r="H28" s="34" t="str">
        <f>Démarrage!W23</f>
        <v>Larsen Press prise moyenne</v>
      </c>
      <c r="I28" s="19" t="s">
        <v>20</v>
      </c>
      <c r="J28" s="20">
        <v>8</v>
      </c>
      <c r="K28" s="20" t="s">
        <v>21</v>
      </c>
      <c r="L28" s="12"/>
      <c r="M28" s="46"/>
      <c r="N28" s="44">
        <v>3</v>
      </c>
      <c r="O28" s="44">
        <v>3</v>
      </c>
      <c r="P28" s="49" t="str">
        <f>MROUND((Démarrage!$N$13*0.89)*0.875,(Démarrage!$N$22))&amp;"kg"</f>
        <v>175kg</v>
      </c>
      <c r="Q28" s="17"/>
      <c r="R28" s="46"/>
      <c r="S28" s="43">
        <f>IF(Démarrage!N38&gt;84,2,3)</f>
        <v>3</v>
      </c>
      <c r="T28" s="55" t="s">
        <v>26</v>
      </c>
      <c r="U28" s="43" t="str">
        <f>MROUND((Démarrage!$N$15*0.875)*0.85,(Démarrage!$N$22))&amp;"kg"</f>
        <v>215kg</v>
      </c>
      <c r="V28" s="12"/>
    </row>
    <row r="29" spans="1:24" x14ac:dyDescent="0.3">
      <c r="A29" s="6"/>
      <c r="B29" s="7"/>
      <c r="C29" s="21" t="s">
        <v>17</v>
      </c>
      <c r="D29" s="20">
        <v>1</v>
      </c>
      <c r="E29" s="20">
        <v>6</v>
      </c>
      <c r="F29" s="20" t="str">
        <f>MROUND(Démarrage!N14*0.775,(Démarrage!N22))&amp;"kg"</f>
        <v>117,5kg</v>
      </c>
      <c r="G29" s="12"/>
      <c r="H29" s="34"/>
      <c r="I29" s="22" t="str">
        <f>IF(Démarrage!N20&gt;84,2,"2-3")</f>
        <v>2-3</v>
      </c>
      <c r="J29" s="22" t="str">
        <f>IF(Démarrage!N18="Femme","10","8")</f>
        <v>8</v>
      </c>
      <c r="K29" s="23">
        <v>-0.1</v>
      </c>
      <c r="L29" s="12"/>
      <c r="M29" s="21" t="s">
        <v>17</v>
      </c>
      <c r="N29" s="20">
        <v>1</v>
      </c>
      <c r="O29" s="20">
        <v>2</v>
      </c>
      <c r="P29" s="25" t="str">
        <f>MROUND(Démarrage!$N$14*0.89,(Démarrage!$N$22))&amp;"kg"</f>
        <v>132,5kg</v>
      </c>
      <c r="Q29" s="24"/>
      <c r="R29" s="27" t="str">
        <f>IF(Démarrage!$AE$25="P","Tempo 4:2:0 Bench",IF(Démarrage!$AE$25="T","Triple Pause Bench","T-Shirt Pause Bench"))</f>
        <v>Tempo 4:2:0 Bench</v>
      </c>
      <c r="S29" s="20">
        <v>1</v>
      </c>
      <c r="T29" s="20">
        <v>1</v>
      </c>
      <c r="U29" s="20" t="str">
        <f>MROUND(Démarrage!$N$14*0.84,(Démarrage!$N$22))&amp;"kg"</f>
        <v>125kg</v>
      </c>
      <c r="V29" s="12"/>
    </row>
    <row r="30" spans="1:24" ht="15.75" customHeight="1" x14ac:dyDescent="0.3">
      <c r="A30" s="67" t="s">
        <v>34</v>
      </c>
      <c r="B30" s="7"/>
      <c r="C30" s="21"/>
      <c r="D30" s="22" t="str">
        <f>IF(Démarrage!N18="Femme","4-5","4")</f>
        <v>4</v>
      </c>
      <c r="E30" s="20">
        <v>6</v>
      </c>
      <c r="F30" s="20" t="str">
        <f>MROUND((Démarrage!N14*0.775)*0.9,(Démarrage!N22))&amp;"kg"</f>
        <v>105kg</v>
      </c>
      <c r="G30" s="12"/>
      <c r="H30" s="43" t="s">
        <v>22</v>
      </c>
      <c r="I30" s="44" t="str">
        <f>IF(Démarrage!N40="Femme","5","4")</f>
        <v>4</v>
      </c>
      <c r="J30" s="44">
        <v>12</v>
      </c>
      <c r="K30" s="45" t="s">
        <v>90</v>
      </c>
      <c r="L30" s="12"/>
      <c r="M30" s="21"/>
      <c r="N30" s="22">
        <f>IF(Démarrage!$I$20&gt;94,3,4)</f>
        <v>4</v>
      </c>
      <c r="O30" s="20">
        <v>3</v>
      </c>
      <c r="P30" s="25" t="str">
        <f>MROUND((Démarrage!$N$14*0.89)*0.9,(Démarrage!$N$22))&amp;"kg"</f>
        <v>120kg</v>
      </c>
      <c r="Q30" s="24"/>
      <c r="R30" s="27" t="s">
        <v>89</v>
      </c>
      <c r="S30" s="20">
        <v>3</v>
      </c>
      <c r="T30" s="22">
        <v>5</v>
      </c>
      <c r="U30" s="20" t="str">
        <f>MROUND(Démarrage!$N$14*0.72,(Démarrage!$N$22))&amp;"kg"</f>
        <v>107,5kg</v>
      </c>
      <c r="V30" s="12"/>
    </row>
    <row r="31" spans="1:24" x14ac:dyDescent="0.3">
      <c r="A31" s="67"/>
      <c r="B31" s="7"/>
      <c r="C31" s="47" t="s">
        <v>52</v>
      </c>
      <c r="D31" s="43">
        <v>1</v>
      </c>
      <c r="E31" s="43">
        <v>6</v>
      </c>
      <c r="F31" s="43" t="str">
        <f>MROUND(Démarrage!N15*0.775,(Démarrage!N22))&amp;"kg"</f>
        <v>225kg</v>
      </c>
      <c r="G31" s="12"/>
      <c r="H31" s="27" t="s">
        <v>23</v>
      </c>
      <c r="I31" s="22">
        <v>4</v>
      </c>
      <c r="J31" s="26" t="s">
        <v>24</v>
      </c>
      <c r="K31" s="22"/>
      <c r="L31" s="12"/>
      <c r="M31" s="47" t="s">
        <v>87</v>
      </c>
      <c r="N31" s="43" t="str">
        <f>IF(Démarrage!$N$18="Femme","4","3")</f>
        <v>3</v>
      </c>
      <c r="O31" s="56" t="s">
        <v>88</v>
      </c>
      <c r="P31" s="43" t="s">
        <v>91</v>
      </c>
      <c r="Q31" s="17"/>
      <c r="R31" s="47" t="s">
        <v>29</v>
      </c>
      <c r="S31" s="44">
        <v>4</v>
      </c>
      <c r="T31" s="44">
        <v>10</v>
      </c>
      <c r="U31" s="45" t="s">
        <v>90</v>
      </c>
      <c r="V31" s="12"/>
    </row>
    <row r="32" spans="1:24" ht="16.5" thickBot="1" x14ac:dyDescent="0.35">
      <c r="A32" s="67"/>
      <c r="B32" s="28"/>
      <c r="C32" s="29" t="str">
        <f>Démarrage!$W$16</f>
        <v>Sumo Pausé</v>
      </c>
      <c r="D32" s="30" t="s">
        <v>26</v>
      </c>
      <c r="E32" s="31">
        <v>3</v>
      </c>
      <c r="F32" s="31" t="s">
        <v>38</v>
      </c>
      <c r="G32" s="32"/>
      <c r="H32" s="48" t="s">
        <v>25</v>
      </c>
      <c r="I32" s="40">
        <v>3</v>
      </c>
      <c r="J32" s="41" t="s">
        <v>24</v>
      </c>
      <c r="K32" s="40"/>
      <c r="L32" s="32"/>
      <c r="M32" s="29" t="s">
        <v>32</v>
      </c>
      <c r="N32" s="31">
        <v>3</v>
      </c>
      <c r="O32" s="57" t="s">
        <v>24</v>
      </c>
      <c r="P32" s="58"/>
      <c r="Q32" s="33"/>
      <c r="R32" s="29" t="s">
        <v>30</v>
      </c>
      <c r="S32" s="31">
        <v>4</v>
      </c>
      <c r="T32" s="57" t="s">
        <v>31</v>
      </c>
      <c r="U32" s="59" t="s">
        <v>90</v>
      </c>
      <c r="V32" s="32"/>
    </row>
    <row r="33" spans="1:24" s="3" customFormat="1" ht="7.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s="3" customFormat="1" ht="16.5" thickBot="1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25.5" customHeight="1" x14ac:dyDescent="0.3">
      <c r="A35" s="6"/>
      <c r="B35" s="52"/>
      <c r="C35" s="53" t="s">
        <v>67</v>
      </c>
      <c r="D35" s="53"/>
      <c r="E35" s="53"/>
      <c r="F35" s="53"/>
      <c r="G35" s="8" t="s">
        <v>64</v>
      </c>
      <c r="H35" s="53" t="s">
        <v>75</v>
      </c>
      <c r="I35" s="53"/>
      <c r="J35" s="53"/>
      <c r="K35" s="53"/>
      <c r="L35" s="8" t="s">
        <v>64</v>
      </c>
      <c r="M35" s="53" t="s">
        <v>79</v>
      </c>
      <c r="N35" s="53"/>
      <c r="O35" s="53"/>
      <c r="P35" s="53"/>
      <c r="Q35" s="9"/>
      <c r="R35" s="53" t="s">
        <v>82</v>
      </c>
      <c r="S35" s="53"/>
      <c r="T35" s="53"/>
      <c r="U35" s="53"/>
      <c r="V35" s="8" t="s">
        <v>64</v>
      </c>
    </row>
    <row r="36" spans="1:24" ht="1.5" customHeight="1" x14ac:dyDescent="0.3">
      <c r="A36" s="6"/>
      <c r="B36" s="7"/>
      <c r="C36" s="10"/>
      <c r="D36" s="11"/>
      <c r="E36" s="11"/>
      <c r="F36" s="11"/>
      <c r="G36" s="12"/>
      <c r="H36" s="13"/>
      <c r="I36" s="14"/>
      <c r="J36" s="14"/>
      <c r="K36" s="14"/>
      <c r="L36" s="12"/>
      <c r="M36" s="10"/>
      <c r="N36" s="11"/>
      <c r="O36" s="11"/>
      <c r="P36" s="11"/>
      <c r="Q36" s="9"/>
      <c r="R36" s="10"/>
      <c r="S36" s="11"/>
      <c r="T36" s="11"/>
      <c r="U36" s="11"/>
      <c r="V36" s="12"/>
    </row>
    <row r="37" spans="1:24" ht="18.75" customHeight="1" x14ac:dyDescent="0.3">
      <c r="A37" s="6"/>
      <c r="B37" s="7"/>
      <c r="C37" s="4" t="s">
        <v>13</v>
      </c>
      <c r="D37" s="5" t="s">
        <v>14</v>
      </c>
      <c r="E37" s="5" t="s">
        <v>15</v>
      </c>
      <c r="F37" s="5" t="s">
        <v>16</v>
      </c>
      <c r="G37" s="12"/>
      <c r="H37" s="15" t="s">
        <v>13</v>
      </c>
      <c r="I37" s="16" t="s">
        <v>14</v>
      </c>
      <c r="J37" s="16" t="s">
        <v>15</v>
      </c>
      <c r="K37" s="16" t="s">
        <v>16</v>
      </c>
      <c r="L37" s="12"/>
      <c r="M37" s="15" t="s">
        <v>13</v>
      </c>
      <c r="N37" s="16" t="s">
        <v>14</v>
      </c>
      <c r="O37" s="16" t="s">
        <v>15</v>
      </c>
      <c r="P37" s="16" t="s">
        <v>16</v>
      </c>
      <c r="Q37" s="17"/>
      <c r="R37" s="15" t="s">
        <v>13</v>
      </c>
      <c r="S37" s="16" t="s">
        <v>14</v>
      </c>
      <c r="T37" s="16" t="s">
        <v>15</v>
      </c>
      <c r="U37" s="16" t="s">
        <v>16</v>
      </c>
      <c r="V37" s="12"/>
    </row>
    <row r="38" spans="1:24" x14ac:dyDescent="0.3">
      <c r="A38" s="6"/>
      <c r="B38" s="7"/>
      <c r="C38" s="46" t="s">
        <v>1</v>
      </c>
      <c r="D38" s="44">
        <v>1</v>
      </c>
      <c r="E38" s="44">
        <v>5</v>
      </c>
      <c r="F38" s="44" t="str">
        <f>MROUND(Démarrage!N13*0.8,(Démarrage!N22))&amp;"kg"</f>
        <v>180kg</v>
      </c>
      <c r="G38" s="12"/>
      <c r="H38" s="47" t="str">
        <f>Démarrage!W20</f>
        <v>Squat Barre Haute</v>
      </c>
      <c r="I38" s="43" t="str">
        <f>IF(Démarrage!N18="Femme","3-4","2-3")</f>
        <v>2-3</v>
      </c>
      <c r="J38" s="44">
        <v>4</v>
      </c>
      <c r="K38" s="44" t="str">
        <f>MROUND(Démarrage!N13*0.7,(Démarrage!N22))&amp;"kg"</f>
        <v>157,5kg</v>
      </c>
      <c r="L38" s="12"/>
      <c r="M38" s="46" t="s">
        <v>1</v>
      </c>
      <c r="N38" s="44">
        <v>1</v>
      </c>
      <c r="O38" s="44">
        <v>1</v>
      </c>
      <c r="P38" s="49" t="str">
        <f>MROUND(Démarrage!$N$13*0.92,(Démarrage!$N$22))&amp;"kg"</f>
        <v>207,5kg</v>
      </c>
      <c r="Q38" s="17"/>
      <c r="R38" s="46" t="s">
        <v>52</v>
      </c>
      <c r="S38" s="43">
        <v>1</v>
      </c>
      <c r="T38" s="43">
        <v>1</v>
      </c>
      <c r="U38" s="43" t="str">
        <f>MROUND(Démarrage!$N$15*0.9,(Démarrage!$N$22))&amp;"kg"</f>
        <v>260kg</v>
      </c>
      <c r="V38" s="12"/>
    </row>
    <row r="39" spans="1:24" x14ac:dyDescent="0.3">
      <c r="A39" s="6"/>
      <c r="B39" s="7"/>
      <c r="C39" s="46"/>
      <c r="D39" s="44">
        <v>3</v>
      </c>
      <c r="E39" s="44">
        <v>5</v>
      </c>
      <c r="F39" s="44" t="str">
        <f>MROUND((Démarrage!N13*0.8)*0.9,(Démarrage!N22))&amp;"kg"</f>
        <v>162,5kg</v>
      </c>
      <c r="G39" s="12"/>
      <c r="H39" s="34" t="str">
        <f>Démarrage!W23</f>
        <v>Larsen Press prise moyenne</v>
      </c>
      <c r="I39" s="19" t="s">
        <v>20</v>
      </c>
      <c r="J39" s="20">
        <v>7</v>
      </c>
      <c r="K39" s="20" t="s">
        <v>21</v>
      </c>
      <c r="L39" s="12"/>
      <c r="M39" s="46"/>
      <c r="N39" s="44">
        <v>3</v>
      </c>
      <c r="O39" s="44">
        <v>2</v>
      </c>
      <c r="P39" s="49" t="str">
        <f>MROUND((Démarrage!$N$13*0.92)*0.875,(Démarrage!$N$22))&amp;"kg"</f>
        <v>180kg</v>
      </c>
      <c r="Q39" s="17"/>
      <c r="R39" s="46"/>
      <c r="S39" s="43">
        <f>IF(Démarrage!N49&gt;84,2,3)</f>
        <v>3</v>
      </c>
      <c r="T39" s="55" t="s">
        <v>28</v>
      </c>
      <c r="U39" s="43" t="str">
        <f>MROUND((Démarrage!$N$15*0.9)*0.85,(Démarrage!$N$22))&amp;"kg"</f>
        <v>222,5kg</v>
      </c>
      <c r="V39" s="12"/>
    </row>
    <row r="40" spans="1:24" x14ac:dyDescent="0.3">
      <c r="A40" s="6"/>
      <c r="B40" s="7"/>
      <c r="C40" s="21" t="s">
        <v>17</v>
      </c>
      <c r="D40" s="20">
        <v>1</v>
      </c>
      <c r="E40" s="20">
        <v>5</v>
      </c>
      <c r="F40" s="20" t="str">
        <f>MROUND(Démarrage!N14*0.8,(Démarrage!N22))&amp;"kg"</f>
        <v>120kg</v>
      </c>
      <c r="G40" s="12"/>
      <c r="H40" s="34"/>
      <c r="I40" s="22">
        <f>IF(Démarrage!N20&gt;84,1,2)</f>
        <v>2</v>
      </c>
      <c r="J40" s="22" t="str">
        <f>IF(Démarrage!N18="Femme","9","7")</f>
        <v>7</v>
      </c>
      <c r="K40" s="23">
        <v>-0.1</v>
      </c>
      <c r="L40" s="12"/>
      <c r="M40" s="21" t="s">
        <v>17</v>
      </c>
      <c r="N40" s="20">
        <v>1</v>
      </c>
      <c r="O40" s="20">
        <v>1</v>
      </c>
      <c r="P40" s="25" t="str">
        <f>MROUND(Démarrage!$N$14*0.92,(Démarrage!$N$22))&amp;"kg"</f>
        <v>137,5kg</v>
      </c>
      <c r="Q40" s="24"/>
      <c r="R40" s="27" t="str">
        <f>IF(Démarrage!$AE$25="P","Tempo 4:2:0 Bench",IF(Démarrage!$AE$25="T","Triple Pause Bench","T-Shirt Pause Bench"))</f>
        <v>Tempo 4:2:0 Bench</v>
      </c>
      <c r="S40" s="20">
        <v>1</v>
      </c>
      <c r="T40" s="20">
        <v>1</v>
      </c>
      <c r="U40" s="20" t="str">
        <f>MROUND(Démarrage!$N$14*0.86,(Démarrage!$N$22))&amp;"kg"</f>
        <v>130kg</v>
      </c>
      <c r="V40" s="12"/>
    </row>
    <row r="41" spans="1:24" ht="15.75" customHeight="1" x14ac:dyDescent="0.3">
      <c r="A41" s="67" t="s">
        <v>39</v>
      </c>
      <c r="B41" s="7"/>
      <c r="C41" s="21"/>
      <c r="D41" s="22" t="str">
        <f>IF(Démarrage!N18="Femme","4-5","4")</f>
        <v>4</v>
      </c>
      <c r="E41" s="20">
        <v>5</v>
      </c>
      <c r="F41" s="20" t="str">
        <f>MROUND((Démarrage!N14*0.8)*0.9,(Démarrage!N22))&amp;"kg"</f>
        <v>107,5kg</v>
      </c>
      <c r="G41" s="12"/>
      <c r="H41" s="43" t="s">
        <v>22</v>
      </c>
      <c r="I41" s="44" t="str">
        <f>IF(Démarrage!N51="Femme","5","4")</f>
        <v>4</v>
      </c>
      <c r="J41" s="44">
        <v>12</v>
      </c>
      <c r="K41" s="45" t="s">
        <v>21</v>
      </c>
      <c r="L41" s="12"/>
      <c r="M41" s="21"/>
      <c r="N41" s="22">
        <f>IF(Démarrage!$I$20&gt;94,3,4)</f>
        <v>4</v>
      </c>
      <c r="O41" s="20">
        <v>2</v>
      </c>
      <c r="P41" s="25" t="str">
        <f>MROUND((Démarrage!$N$14*0.92)*0.9,(Démarrage!$N$22))&amp;"kg"</f>
        <v>125kg</v>
      </c>
      <c r="Q41" s="24"/>
      <c r="R41" s="27" t="s">
        <v>89</v>
      </c>
      <c r="S41" s="20">
        <v>3</v>
      </c>
      <c r="T41" s="22">
        <v>5</v>
      </c>
      <c r="U41" s="20" t="str">
        <f>MROUND(Démarrage!$N$14*0.74,(Démarrage!$N$22))&amp;"kg"</f>
        <v>110kg</v>
      </c>
      <c r="V41" s="12"/>
    </row>
    <row r="42" spans="1:24" x14ac:dyDescent="0.3">
      <c r="A42" s="67"/>
      <c r="B42" s="7"/>
      <c r="C42" s="47" t="s">
        <v>52</v>
      </c>
      <c r="D42" s="43">
        <v>1</v>
      </c>
      <c r="E42" s="43">
        <v>5</v>
      </c>
      <c r="F42" s="43" t="str">
        <f>MROUND(Démarrage!N15*0.8,(Démarrage!N22))&amp;"kg"</f>
        <v>232,5kg</v>
      </c>
      <c r="G42" s="12"/>
      <c r="H42" s="27" t="s">
        <v>23</v>
      </c>
      <c r="I42" s="22">
        <v>3</v>
      </c>
      <c r="J42" s="26" t="s">
        <v>24</v>
      </c>
      <c r="K42" s="22"/>
      <c r="L42" s="12"/>
      <c r="M42" s="47" t="s">
        <v>87</v>
      </c>
      <c r="N42" s="43" t="str">
        <f>IF(Démarrage!$N$18="Femme","4","3")</f>
        <v>3</v>
      </c>
      <c r="O42" s="56" t="s">
        <v>88</v>
      </c>
      <c r="P42" s="43" t="s">
        <v>92</v>
      </c>
      <c r="Q42" s="17"/>
      <c r="R42" s="47" t="s">
        <v>29</v>
      </c>
      <c r="S42" s="44">
        <v>4</v>
      </c>
      <c r="T42" s="44">
        <v>10</v>
      </c>
      <c r="U42" s="45" t="s">
        <v>91</v>
      </c>
      <c r="V42" s="12"/>
    </row>
    <row r="43" spans="1:24" ht="16.5" thickBot="1" x14ac:dyDescent="0.35">
      <c r="A43" s="67"/>
      <c r="B43" s="28"/>
      <c r="C43" s="29" t="str">
        <f>Démarrage!$W$16</f>
        <v>Sumo Pausé</v>
      </c>
      <c r="D43" s="30" t="s">
        <v>35</v>
      </c>
      <c r="E43" s="31">
        <v>2</v>
      </c>
      <c r="F43" s="31" t="s">
        <v>41</v>
      </c>
      <c r="G43" s="32"/>
      <c r="H43" s="48" t="s">
        <v>25</v>
      </c>
      <c r="I43" s="40">
        <v>3</v>
      </c>
      <c r="J43" s="41" t="s">
        <v>24</v>
      </c>
      <c r="K43" s="40"/>
      <c r="L43" s="32"/>
      <c r="M43" s="29" t="s">
        <v>32</v>
      </c>
      <c r="N43" s="31">
        <v>3</v>
      </c>
      <c r="O43" s="57" t="s">
        <v>24</v>
      </c>
      <c r="P43" s="58"/>
      <c r="Q43" s="33"/>
      <c r="R43" s="29" t="s">
        <v>30</v>
      </c>
      <c r="S43" s="31">
        <v>4</v>
      </c>
      <c r="T43" s="57" t="s">
        <v>31</v>
      </c>
      <c r="U43" s="59" t="s">
        <v>91</v>
      </c>
      <c r="V43" s="32"/>
    </row>
    <row r="44" spans="1:24" s="3" customFormat="1" ht="7.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s="3" customFormat="1" ht="16.5" thickBot="1" x14ac:dyDescent="0.3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25.5" customHeight="1" x14ac:dyDescent="0.3">
      <c r="A46" s="6"/>
      <c r="B46" s="52"/>
      <c r="C46" s="53" t="s">
        <v>66</v>
      </c>
      <c r="D46" s="53"/>
      <c r="E46" s="53"/>
      <c r="F46" s="53"/>
      <c r="G46" s="8" t="s">
        <v>64</v>
      </c>
      <c r="H46" s="53" t="s">
        <v>76</v>
      </c>
      <c r="I46" s="53"/>
      <c r="J46" s="53"/>
      <c r="K46" s="53"/>
      <c r="L46" s="8" t="s">
        <v>64</v>
      </c>
      <c r="M46" s="53" t="s">
        <v>80</v>
      </c>
      <c r="N46" s="53"/>
      <c r="O46" s="53"/>
      <c r="P46" s="53"/>
      <c r="Q46" s="9"/>
      <c r="R46" s="53" t="s">
        <v>81</v>
      </c>
      <c r="S46" s="53"/>
      <c r="T46" s="53"/>
      <c r="U46" s="53"/>
      <c r="V46" s="8" t="s">
        <v>64</v>
      </c>
    </row>
    <row r="47" spans="1:24" ht="1.5" customHeight="1" x14ac:dyDescent="0.3">
      <c r="A47" s="6"/>
      <c r="B47" s="7"/>
      <c r="C47" s="10"/>
      <c r="D47" s="11"/>
      <c r="E47" s="11"/>
      <c r="F47" s="11"/>
      <c r="G47" s="12"/>
      <c r="H47" s="13"/>
      <c r="I47" s="14"/>
      <c r="J47" s="14"/>
      <c r="K47" s="14"/>
      <c r="L47" s="12"/>
      <c r="M47" s="10"/>
      <c r="N47" s="11"/>
      <c r="O47" s="11"/>
      <c r="P47" s="11"/>
      <c r="Q47" s="9"/>
      <c r="R47" s="10"/>
      <c r="S47" s="11"/>
      <c r="T47" s="11"/>
      <c r="U47" s="11"/>
      <c r="V47" s="12"/>
    </row>
    <row r="48" spans="1:24" ht="18.75" customHeight="1" x14ac:dyDescent="0.3">
      <c r="A48" s="6"/>
      <c r="B48" s="7"/>
      <c r="C48" s="4" t="s">
        <v>13</v>
      </c>
      <c r="D48" s="5" t="s">
        <v>14</v>
      </c>
      <c r="E48" s="5" t="s">
        <v>15</v>
      </c>
      <c r="F48" s="5" t="s">
        <v>16</v>
      </c>
      <c r="G48" s="12"/>
      <c r="H48" s="15" t="s">
        <v>13</v>
      </c>
      <c r="I48" s="16" t="s">
        <v>14</v>
      </c>
      <c r="J48" s="16" t="s">
        <v>15</v>
      </c>
      <c r="K48" s="16" t="s">
        <v>16</v>
      </c>
      <c r="L48" s="12"/>
      <c r="M48" s="15" t="s">
        <v>13</v>
      </c>
      <c r="N48" s="16" t="s">
        <v>14</v>
      </c>
      <c r="O48" s="16" t="s">
        <v>15</v>
      </c>
      <c r="P48" s="16" t="s">
        <v>16</v>
      </c>
      <c r="Q48" s="17"/>
      <c r="R48" s="15" t="s">
        <v>13</v>
      </c>
      <c r="S48" s="16" t="s">
        <v>14</v>
      </c>
      <c r="T48" s="16" t="s">
        <v>15</v>
      </c>
      <c r="U48" s="16" t="s">
        <v>16</v>
      </c>
      <c r="V48" s="12"/>
    </row>
    <row r="49" spans="1:24" x14ac:dyDescent="0.3">
      <c r="A49" s="6"/>
      <c r="B49" s="7"/>
      <c r="C49" s="46" t="s">
        <v>1</v>
      </c>
      <c r="D49" s="43">
        <v>1</v>
      </c>
      <c r="E49" s="43">
        <v>4</v>
      </c>
      <c r="F49" s="43" t="str">
        <f>MROUND(Démarrage!N13*0.825,(Démarrage!N22))&amp;"kg"</f>
        <v>185kg</v>
      </c>
      <c r="G49" s="12"/>
      <c r="H49" s="47" t="str">
        <f>Démarrage!W20</f>
        <v>Squat Barre Haute</v>
      </c>
      <c r="I49" s="43" t="str">
        <f>IF(Démarrage!N28="Femme","3","2")</f>
        <v>2</v>
      </c>
      <c r="J49" s="43">
        <v>3</v>
      </c>
      <c r="K49" s="43" t="str">
        <f>MROUND(Démarrage!N13*0.725,(Démarrage!N22))&amp;"kg"</f>
        <v>162,5kg</v>
      </c>
      <c r="L49" s="12"/>
      <c r="M49" s="60" t="s">
        <v>93</v>
      </c>
      <c r="N49" s="61"/>
      <c r="O49" s="61"/>
      <c r="P49" s="62"/>
      <c r="Q49" s="17"/>
      <c r="R49" s="46" t="s">
        <v>1</v>
      </c>
      <c r="S49" s="43">
        <v>1</v>
      </c>
      <c r="T49" s="55" t="s">
        <v>50</v>
      </c>
      <c r="U49" s="49" t="str">
        <f>MROUND(Démarrage!N13*0.93,(Démarrage!N22))&amp;"kg"</f>
        <v>210kg</v>
      </c>
      <c r="V49" s="12"/>
    </row>
    <row r="50" spans="1:24" x14ac:dyDescent="0.3">
      <c r="A50" s="6"/>
      <c r="B50" s="7"/>
      <c r="C50" s="46"/>
      <c r="D50" s="43">
        <v>3</v>
      </c>
      <c r="E50" s="43">
        <v>4</v>
      </c>
      <c r="F50" s="43" t="str">
        <f>MROUND((Démarrage!N13*0.825)*0.9,(Démarrage!N22))&amp;"kg"</f>
        <v>167,5kg</v>
      </c>
      <c r="G50" s="12"/>
      <c r="H50" s="34" t="str">
        <f>Démarrage!W23</f>
        <v>Larsen Press prise moyenne</v>
      </c>
      <c r="I50" s="26" t="s">
        <v>20</v>
      </c>
      <c r="J50" s="22">
        <v>6</v>
      </c>
      <c r="K50" s="22" t="s">
        <v>21</v>
      </c>
      <c r="L50" s="12"/>
      <c r="M50" s="60"/>
      <c r="N50" s="61"/>
      <c r="O50" s="61"/>
      <c r="P50" s="62"/>
      <c r="Q50" s="17"/>
      <c r="R50" s="46"/>
      <c r="S50" s="43" t="s">
        <v>51</v>
      </c>
      <c r="T50" s="43" t="s">
        <v>49</v>
      </c>
      <c r="U50" s="49" t="s">
        <v>2</v>
      </c>
      <c r="V50" s="12"/>
    </row>
    <row r="51" spans="1:24" x14ac:dyDescent="0.3">
      <c r="A51" s="6"/>
      <c r="B51" s="7"/>
      <c r="C51" s="21" t="s">
        <v>17</v>
      </c>
      <c r="D51" s="22">
        <v>1</v>
      </c>
      <c r="E51" s="22">
        <v>4</v>
      </c>
      <c r="F51" s="22" t="str">
        <f>MROUND(Démarrage!N14*0.825,(Démarrage!N22))&amp;"kg"</f>
        <v>125kg</v>
      </c>
      <c r="G51" s="12"/>
      <c r="H51" s="34"/>
      <c r="I51" s="22" t="str">
        <f>IF(Démarrage!N20&gt;84,1,"1-2")</f>
        <v>1-2</v>
      </c>
      <c r="J51" s="22" t="str">
        <f>IF(Démarrage!N18="Femme","8","6")</f>
        <v>6</v>
      </c>
      <c r="K51" s="35">
        <v>-0.1</v>
      </c>
      <c r="L51" s="12"/>
      <c r="M51" s="60"/>
      <c r="N51" s="61"/>
      <c r="O51" s="61"/>
      <c r="P51" s="62"/>
      <c r="Q51" s="24"/>
      <c r="R51" s="21" t="s">
        <v>17</v>
      </c>
      <c r="S51" s="22">
        <v>1</v>
      </c>
      <c r="T51" s="26" t="s">
        <v>50</v>
      </c>
      <c r="U51" s="25" t="str">
        <f>MROUND(Démarrage!N14*0.93,(Démarrage!N22))&amp;"kg"</f>
        <v>140kg</v>
      </c>
      <c r="V51" s="12"/>
    </row>
    <row r="52" spans="1:24" ht="15.75" customHeight="1" x14ac:dyDescent="0.3">
      <c r="A52" s="67" t="s">
        <v>48</v>
      </c>
      <c r="B52" s="7"/>
      <c r="C52" s="21"/>
      <c r="D52" s="22" t="str">
        <f>IF(Démarrage!N18="Femme","4-5","4")</f>
        <v>4</v>
      </c>
      <c r="E52" s="22">
        <v>4</v>
      </c>
      <c r="F52" s="22" t="str">
        <f>MROUND((Démarrage!N14*0.825)*0.9,(Démarrage!N22))&amp;"kg"</f>
        <v>112,5kg</v>
      </c>
      <c r="G52" s="12"/>
      <c r="H52" s="43" t="s">
        <v>22</v>
      </c>
      <c r="I52" s="44" t="str">
        <f>IF(Démarrage!N62="Femme","5","4")</f>
        <v>4</v>
      </c>
      <c r="J52" s="44">
        <v>12</v>
      </c>
      <c r="K52" s="45" t="s">
        <v>21</v>
      </c>
      <c r="L52" s="12"/>
      <c r="M52" s="60"/>
      <c r="N52" s="61"/>
      <c r="O52" s="61"/>
      <c r="P52" s="62"/>
      <c r="Q52" s="24"/>
      <c r="R52" s="21"/>
      <c r="S52" s="22" t="s">
        <v>51</v>
      </c>
      <c r="T52" s="22" t="s">
        <v>49</v>
      </c>
      <c r="U52" s="25" t="s">
        <v>2</v>
      </c>
      <c r="V52" s="12"/>
    </row>
    <row r="53" spans="1:24" x14ac:dyDescent="0.3">
      <c r="A53" s="67"/>
      <c r="B53" s="7"/>
      <c r="C53" s="47" t="s">
        <v>52</v>
      </c>
      <c r="D53" s="43">
        <v>1</v>
      </c>
      <c r="E53" s="43">
        <v>4</v>
      </c>
      <c r="F53" s="43" t="str">
        <f>MROUND(Démarrage!N15*0.825,(Démarrage!N22))&amp;"kg"</f>
        <v>240kg</v>
      </c>
      <c r="G53" s="12"/>
      <c r="H53" s="27" t="s">
        <v>23</v>
      </c>
      <c r="I53" s="22">
        <v>3</v>
      </c>
      <c r="J53" s="26" t="s">
        <v>24</v>
      </c>
      <c r="K53" s="22"/>
      <c r="L53" s="12"/>
      <c r="M53" s="60"/>
      <c r="N53" s="61"/>
      <c r="O53" s="61"/>
      <c r="P53" s="62"/>
      <c r="Q53" s="17"/>
      <c r="R53" s="46" t="s">
        <v>52</v>
      </c>
      <c r="S53" s="43">
        <v>1</v>
      </c>
      <c r="T53" s="55" t="s">
        <v>50</v>
      </c>
      <c r="U53" s="49" t="str">
        <f>MROUND(Démarrage!N15*0.93,(Démarrage!N22))&amp;"kg"</f>
        <v>270kg</v>
      </c>
      <c r="V53" s="12"/>
    </row>
    <row r="54" spans="1:24" ht="16.5" thickBot="1" x14ac:dyDescent="0.35">
      <c r="A54" s="67"/>
      <c r="B54" s="28"/>
      <c r="C54" s="29" t="str">
        <f>Démarrage!$W$16</f>
        <v>Sumo Pausé</v>
      </c>
      <c r="D54" s="30" t="s">
        <v>28</v>
      </c>
      <c r="E54" s="31">
        <v>2</v>
      </c>
      <c r="F54" s="31" t="s">
        <v>40</v>
      </c>
      <c r="G54" s="32"/>
      <c r="H54" s="48" t="s">
        <v>25</v>
      </c>
      <c r="I54" s="40">
        <v>3</v>
      </c>
      <c r="J54" s="41" t="s">
        <v>24</v>
      </c>
      <c r="K54" s="40"/>
      <c r="L54" s="32"/>
      <c r="M54" s="63"/>
      <c r="N54" s="64"/>
      <c r="O54" s="64"/>
      <c r="P54" s="65"/>
      <c r="Q54" s="33"/>
      <c r="R54" s="50"/>
      <c r="S54" s="40" t="s">
        <v>51</v>
      </c>
      <c r="T54" s="40" t="s">
        <v>49</v>
      </c>
      <c r="U54" s="51" t="s">
        <v>2</v>
      </c>
      <c r="V54" s="32"/>
    </row>
    <row r="55" spans="1:24" s="3" customForma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s="3" customForma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5.75" hidden="1" customHeight="1" x14ac:dyDescent="0.3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R57" s="36"/>
      <c r="S57" s="36"/>
      <c r="T57" s="36"/>
      <c r="U57" s="36"/>
      <c r="V57" s="36"/>
    </row>
    <row r="58" spans="1:24" ht="15.75" hidden="1" customHeight="1" x14ac:dyDescent="0.3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R58" s="36"/>
      <c r="S58" s="36"/>
      <c r="T58" s="36"/>
      <c r="U58" s="36"/>
      <c r="V58" s="36"/>
    </row>
    <row r="59" spans="1:24" ht="15.75" hidden="1" customHeight="1" x14ac:dyDescent="0.3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R59" s="36"/>
      <c r="S59" s="36"/>
      <c r="T59" s="36"/>
      <c r="U59" s="36"/>
      <c r="V59" s="36"/>
    </row>
    <row r="60" spans="1:24" ht="15.75" hidden="1" customHeight="1" x14ac:dyDescent="0.3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R60" s="36"/>
      <c r="S60" s="36"/>
      <c r="T60" s="36"/>
      <c r="U60" s="36"/>
      <c r="V60" s="36"/>
    </row>
    <row r="61" spans="1:24" ht="15.75" hidden="1" customHeight="1" x14ac:dyDescent="0.3">
      <c r="A61" s="36"/>
      <c r="B61" s="36"/>
      <c r="C61" s="36"/>
      <c r="D61" s="36"/>
      <c r="E61" s="36"/>
      <c r="F61" s="36"/>
      <c r="G61" s="36"/>
      <c r="H61" s="37"/>
      <c r="I61" s="37"/>
      <c r="J61" s="36"/>
      <c r="K61" s="36"/>
      <c r="L61" s="36"/>
      <c r="M61" s="36"/>
      <c r="N61" s="36"/>
      <c r="O61" s="36"/>
      <c r="P61" s="36"/>
      <c r="R61" s="36"/>
      <c r="S61" s="36"/>
      <c r="T61" s="36"/>
      <c r="U61" s="36"/>
      <c r="V61" s="36"/>
    </row>
    <row r="62" spans="1:24" ht="15.75" hidden="1" customHeight="1" x14ac:dyDescent="0.3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R62" s="36"/>
      <c r="S62" s="36"/>
      <c r="T62" s="36"/>
      <c r="U62" s="36"/>
      <c r="V62" s="36"/>
    </row>
    <row r="63" spans="1:24" ht="15.75" hidden="1" customHeight="1" x14ac:dyDescent="0.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R63" s="36"/>
      <c r="S63" s="36"/>
      <c r="T63" s="36"/>
      <c r="U63" s="36"/>
      <c r="V63" s="36"/>
    </row>
    <row r="64" spans="1:24" ht="15.75" hidden="1" customHeight="1" x14ac:dyDescent="0.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R64" s="36"/>
      <c r="S64" s="36"/>
      <c r="T64" s="36"/>
      <c r="U64" s="36"/>
      <c r="V64" s="36"/>
    </row>
    <row r="65" spans="1:22" ht="15.75" hidden="1" customHeight="1" x14ac:dyDescent="0.3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R65" s="36"/>
      <c r="S65" s="36"/>
      <c r="T65" s="36"/>
      <c r="U65" s="36"/>
      <c r="V65" s="36"/>
    </row>
    <row r="66" spans="1:22" ht="15.75" hidden="1" customHeight="1" x14ac:dyDescent="0.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R66" s="36"/>
      <c r="S66" s="36"/>
      <c r="T66" s="36"/>
      <c r="U66" s="36"/>
      <c r="V66" s="36"/>
    </row>
    <row r="67" spans="1:22" ht="15.75" hidden="1" customHeight="1" x14ac:dyDescent="0.3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R67" s="36"/>
      <c r="S67" s="36"/>
      <c r="T67" s="36"/>
      <c r="U67" s="36"/>
      <c r="V67" s="36"/>
    </row>
    <row r="68" spans="1:22" ht="15.75" hidden="1" customHeight="1" x14ac:dyDescent="0.3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R68" s="36"/>
      <c r="S68" s="36"/>
      <c r="T68" s="36"/>
      <c r="U68" s="36"/>
      <c r="V68" s="36"/>
    </row>
    <row r="69" spans="1:22" ht="15.75" hidden="1" customHeight="1" x14ac:dyDescent="0.3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R69" s="36"/>
      <c r="S69" s="36"/>
      <c r="T69" s="36"/>
      <c r="U69" s="36"/>
      <c r="V69" s="36"/>
    </row>
    <row r="70" spans="1:22" ht="15.75" hidden="1" customHeight="1" x14ac:dyDescent="0.3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R70" s="36"/>
      <c r="S70" s="36"/>
      <c r="T70" s="36"/>
      <c r="U70" s="36"/>
      <c r="V70" s="36"/>
    </row>
    <row r="71" spans="1:22" ht="15.75" hidden="1" customHeight="1" x14ac:dyDescent="0.3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R71" s="36"/>
      <c r="S71" s="36"/>
      <c r="T71" s="36"/>
      <c r="U71" s="36"/>
      <c r="V71" s="36"/>
    </row>
    <row r="72" spans="1:22" ht="15.75" hidden="1" customHeight="1" x14ac:dyDescent="0.3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R72" s="36"/>
      <c r="S72" s="36"/>
      <c r="T72" s="36"/>
      <c r="U72" s="36"/>
      <c r="V72" s="36"/>
    </row>
    <row r="73" spans="1:22" ht="15.75" hidden="1" customHeight="1" x14ac:dyDescent="0.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R73" s="36"/>
      <c r="S73" s="36"/>
      <c r="T73" s="36"/>
      <c r="U73" s="36"/>
      <c r="V73" s="36"/>
    </row>
    <row r="74" spans="1:22" ht="15.75" hidden="1" customHeight="1" x14ac:dyDescent="0.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R74" s="36"/>
      <c r="S74" s="36"/>
      <c r="T74" s="36"/>
      <c r="U74" s="36"/>
      <c r="V74" s="36"/>
    </row>
    <row r="75" spans="1:22" ht="15.75" hidden="1" customHeight="1" x14ac:dyDescent="0.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R75" s="36"/>
      <c r="S75" s="36"/>
      <c r="T75" s="36"/>
      <c r="U75" s="36"/>
      <c r="V75" s="36"/>
    </row>
    <row r="76" spans="1:22" ht="15.75" hidden="1" customHeight="1" x14ac:dyDescent="0.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R76" s="36"/>
      <c r="S76" s="36"/>
      <c r="T76" s="36"/>
      <c r="U76" s="36"/>
      <c r="V76" s="36"/>
    </row>
    <row r="77" spans="1:22" ht="15.75" hidden="1" customHeight="1" x14ac:dyDescent="0.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R77" s="36"/>
      <c r="S77" s="36"/>
      <c r="T77" s="36"/>
      <c r="U77" s="36"/>
      <c r="V77" s="36"/>
    </row>
    <row r="78" spans="1:22" ht="15.75" hidden="1" customHeight="1" x14ac:dyDescent="0.3"/>
    <row r="79" spans="1:22" ht="15.75" hidden="1" customHeight="1" x14ac:dyDescent="0.3"/>
    <row r="80" spans="1:22" ht="15.75" hidden="1" customHeight="1" x14ac:dyDescent="0.3"/>
    <row r="81" ht="15.75" hidden="1" customHeight="1" x14ac:dyDescent="0.3"/>
    <row r="82" ht="15.75" hidden="1" customHeight="1" x14ac:dyDescent="0.3"/>
    <row r="83" ht="15.75" hidden="1" customHeight="1" x14ac:dyDescent="0.3"/>
    <row r="84" ht="15.75" hidden="1" customHeight="1" x14ac:dyDescent="0.3"/>
    <row r="85" ht="15.75" hidden="1" customHeight="1" x14ac:dyDescent="0.3"/>
    <row r="86" ht="15.75" hidden="1" customHeight="1" x14ac:dyDescent="0.3"/>
    <row r="87" ht="15.75" hidden="1" customHeight="1" x14ac:dyDescent="0.3"/>
    <row r="88" ht="15.75" hidden="1" customHeight="1" x14ac:dyDescent="0.3"/>
    <row r="89" ht="15.75" hidden="1" customHeight="1" x14ac:dyDescent="0.3"/>
    <row r="90" ht="15.75" hidden="1" customHeight="1" x14ac:dyDescent="0.3"/>
    <row r="91" ht="15.75" hidden="1" customHeight="1" x14ac:dyDescent="0.3"/>
    <row r="92" ht="15.75" hidden="1" customHeight="1" x14ac:dyDescent="0.3"/>
    <row r="93" ht="15.75" hidden="1" customHeight="1" x14ac:dyDescent="0.3"/>
    <row r="94" ht="15.75" hidden="1" customHeight="1" x14ac:dyDescent="0.3"/>
    <row r="95" ht="15.75" hidden="1" customHeight="1" x14ac:dyDescent="0.3"/>
    <row r="96" ht="15.75" hidden="1" customHeight="1" x14ac:dyDescent="0.3"/>
    <row r="97" ht="15.75" hidden="1" customHeight="1" x14ac:dyDescent="0.3"/>
    <row r="98" ht="15.75" hidden="1" customHeight="1" x14ac:dyDescent="0.3"/>
    <row r="99" ht="15.75" hidden="1" customHeight="1" x14ac:dyDescent="0.3"/>
    <row r="100" ht="15.75" hidden="1" customHeight="1" x14ac:dyDescent="0.3"/>
    <row r="101" ht="15.75" hidden="1" customHeight="1" x14ac:dyDescent="0.3"/>
    <row r="102" ht="15.75" hidden="1" customHeight="1" x14ac:dyDescent="0.3"/>
    <row r="103" ht="15.75" hidden="1" customHeight="1" x14ac:dyDescent="0.3"/>
    <row r="104" ht="15.75" hidden="1" customHeight="1" x14ac:dyDescent="0.3"/>
    <row r="105" ht="15.75" hidden="1" customHeight="1" x14ac:dyDescent="0.3"/>
    <row r="106" ht="15.75" hidden="1" customHeight="1" x14ac:dyDescent="0.3"/>
    <row r="107" ht="15.75" hidden="1" customHeight="1" x14ac:dyDescent="0.3"/>
    <row r="108" ht="15.75" hidden="1" customHeight="1" x14ac:dyDescent="0.3"/>
    <row r="109" ht="15.75" hidden="1" customHeight="1" x14ac:dyDescent="0.3"/>
    <row r="110" ht="15.75" hidden="1" customHeight="1" x14ac:dyDescent="0.3"/>
    <row r="111" ht="15.75" hidden="1" customHeight="1" x14ac:dyDescent="0.3"/>
    <row r="112" ht="15.75" hidden="1" customHeight="1" x14ac:dyDescent="0.3"/>
    <row r="113" ht="15.75" hidden="1" customHeight="1" x14ac:dyDescent="0.3"/>
    <row r="114" ht="15.75" hidden="1" customHeight="1" x14ac:dyDescent="0.3"/>
    <row r="115" ht="15.75" hidden="1" customHeight="1" x14ac:dyDescent="0.3"/>
    <row r="116" ht="15.75" hidden="1" customHeight="1" x14ac:dyDescent="0.3"/>
    <row r="117" ht="15.75" hidden="1" customHeight="1" x14ac:dyDescent="0.3"/>
    <row r="118" ht="15.75" hidden="1" customHeight="1" x14ac:dyDescent="0.3"/>
    <row r="119" ht="15.75" hidden="1" customHeight="1" x14ac:dyDescent="0.3"/>
    <row r="120" ht="15.75" hidden="1" customHeight="1" x14ac:dyDescent="0.3"/>
    <row r="121" ht="15.75" hidden="1" customHeight="1" x14ac:dyDescent="0.3"/>
    <row r="122" ht="15.75" hidden="1" customHeight="1" x14ac:dyDescent="0.3"/>
    <row r="123" ht="15.75" hidden="1" customHeight="1" x14ac:dyDescent="0.3"/>
    <row r="124" ht="15.75" hidden="1" customHeight="1" x14ac:dyDescent="0.3"/>
    <row r="125" ht="15.75" hidden="1" customHeight="1" x14ac:dyDescent="0.3"/>
  </sheetData>
  <mergeCells count="71">
    <mergeCell ref="A52:A54"/>
    <mergeCell ref="R53:R54"/>
    <mergeCell ref="V46:V54"/>
    <mergeCell ref="C49:C50"/>
    <mergeCell ref="M49:P54"/>
    <mergeCell ref="R49:R50"/>
    <mergeCell ref="H50:H51"/>
    <mergeCell ref="C51:C52"/>
    <mergeCell ref="R51:R52"/>
    <mergeCell ref="C46:F46"/>
    <mergeCell ref="G46:G54"/>
    <mergeCell ref="H46:K46"/>
    <mergeCell ref="L46:L54"/>
    <mergeCell ref="M46:P46"/>
    <mergeCell ref="R46:U46"/>
    <mergeCell ref="R35:U35"/>
    <mergeCell ref="V35:V43"/>
    <mergeCell ref="C38:C39"/>
    <mergeCell ref="M38:M39"/>
    <mergeCell ref="R38:R39"/>
    <mergeCell ref="H39:H40"/>
    <mergeCell ref="C40:C41"/>
    <mergeCell ref="M40:M41"/>
    <mergeCell ref="A30:A32"/>
    <mergeCell ref="C35:F35"/>
    <mergeCell ref="G35:G43"/>
    <mergeCell ref="H35:K35"/>
    <mergeCell ref="L35:L43"/>
    <mergeCell ref="M35:P35"/>
    <mergeCell ref="A41:A43"/>
    <mergeCell ref="V24:V32"/>
    <mergeCell ref="C27:C28"/>
    <mergeCell ref="M27:M28"/>
    <mergeCell ref="R27:R28"/>
    <mergeCell ref="H28:H29"/>
    <mergeCell ref="C29:C30"/>
    <mergeCell ref="M29:M30"/>
    <mergeCell ref="C24:F24"/>
    <mergeCell ref="G24:G32"/>
    <mergeCell ref="H24:K24"/>
    <mergeCell ref="L24:L32"/>
    <mergeCell ref="M24:P24"/>
    <mergeCell ref="R24:U24"/>
    <mergeCell ref="R13:U13"/>
    <mergeCell ref="V13:V21"/>
    <mergeCell ref="C16:C17"/>
    <mergeCell ref="M16:M17"/>
    <mergeCell ref="R16:R17"/>
    <mergeCell ref="H17:H18"/>
    <mergeCell ref="C18:C19"/>
    <mergeCell ref="M18:M19"/>
    <mergeCell ref="A8:A10"/>
    <mergeCell ref="C13:F13"/>
    <mergeCell ref="G13:G21"/>
    <mergeCell ref="H13:K13"/>
    <mergeCell ref="L13:L21"/>
    <mergeCell ref="M13:P13"/>
    <mergeCell ref="A19:A21"/>
    <mergeCell ref="V2:V10"/>
    <mergeCell ref="C5:C6"/>
    <mergeCell ref="M5:M6"/>
    <mergeCell ref="R5:R6"/>
    <mergeCell ref="H6:H7"/>
    <mergeCell ref="C7:C8"/>
    <mergeCell ref="M7:M8"/>
    <mergeCell ref="C2:F2"/>
    <mergeCell ref="G2:G10"/>
    <mergeCell ref="H2:K2"/>
    <mergeCell ref="L2:L10"/>
    <mergeCell ref="M2:P2"/>
    <mergeCell ref="R2:U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1"/>
  <sheetViews>
    <sheetView showGridLines="0" zoomScale="110" zoomScaleNormal="110" workbookViewId="0">
      <selection activeCell="Y19" sqref="Y19"/>
    </sheetView>
  </sheetViews>
  <sheetFormatPr baseColWidth="10" defaultColWidth="0" defaultRowHeight="15.75" zeroHeight="1" x14ac:dyDescent="0.3"/>
  <cols>
    <col min="1" max="1" width="6.42578125" style="6" customWidth="1"/>
    <col min="2" max="4" width="11.42578125" style="6" customWidth="1"/>
    <col min="5" max="5" width="6.42578125" style="6" customWidth="1"/>
    <col min="6" max="8" width="11.42578125" style="68" customWidth="1"/>
    <col min="9" max="9" width="10.7109375" style="68" customWidth="1"/>
    <col min="10" max="10" width="0.42578125" style="68" customWidth="1"/>
    <col min="11" max="11" width="9.28515625" style="68" customWidth="1"/>
    <col min="12" max="12" width="7.140625" style="68" customWidth="1"/>
    <col min="13" max="14" width="9.28515625" style="68" customWidth="1"/>
    <col min="15" max="15" width="0.5703125" style="68" customWidth="1"/>
    <col min="16" max="16" width="9.28515625" style="68" customWidth="1"/>
    <col min="17" max="17" width="7.140625" style="68" customWidth="1"/>
    <col min="18" max="19" width="9.28515625" style="68" customWidth="1"/>
    <col min="20" max="20" width="0.5703125" style="68" customWidth="1"/>
    <col min="21" max="21" width="9.28515625" style="68" customWidth="1"/>
    <col min="22" max="22" width="7.140625" style="68" customWidth="1"/>
    <col min="23" max="23" width="9.28515625" style="68" customWidth="1"/>
    <col min="24" max="24" width="11.42578125" style="68" customWidth="1"/>
    <col min="25" max="25" width="11.42578125" style="6" customWidth="1"/>
    <col min="26" max="30" width="11.42578125" style="3" customWidth="1"/>
    <col min="31" max="16384" width="11.42578125" hidden="1"/>
  </cols>
  <sheetData>
    <row r="1" spans="7:23" x14ac:dyDescent="0.3"/>
    <row r="2" spans="7:23" x14ac:dyDescent="0.3"/>
    <row r="3" spans="7:23" ht="21" x14ac:dyDescent="0.3">
      <c r="G3" s="66" t="s">
        <v>98</v>
      </c>
      <c r="H3" s="66"/>
      <c r="I3" s="66"/>
      <c r="J3" s="66"/>
      <c r="K3" s="69" t="s">
        <v>96</v>
      </c>
      <c r="L3" s="69"/>
      <c r="M3" s="69"/>
      <c r="P3" s="69" t="s">
        <v>17</v>
      </c>
      <c r="Q3" s="69"/>
      <c r="R3" s="69"/>
      <c r="U3" s="69" t="s">
        <v>52</v>
      </c>
      <c r="V3" s="69"/>
      <c r="W3" s="69"/>
    </row>
    <row r="4" spans="7:23" ht="16.5" thickBot="1" x14ac:dyDescent="0.35">
      <c r="G4" s="70" t="s">
        <v>97</v>
      </c>
      <c r="J4" s="71"/>
      <c r="K4" s="86" t="s">
        <v>57</v>
      </c>
      <c r="L4" s="87" t="s">
        <v>56</v>
      </c>
      <c r="M4" s="70" t="s">
        <v>62</v>
      </c>
      <c r="O4" s="71"/>
      <c r="P4" s="86" t="s">
        <v>57</v>
      </c>
      <c r="Q4" s="87" t="s">
        <v>56</v>
      </c>
      <c r="R4" s="70" t="s">
        <v>62</v>
      </c>
      <c r="T4" s="71"/>
      <c r="U4" s="86" t="s">
        <v>57</v>
      </c>
      <c r="V4" s="87" t="s">
        <v>56</v>
      </c>
      <c r="W4" s="70" t="s">
        <v>62</v>
      </c>
    </row>
    <row r="5" spans="7:23" ht="16.5" thickBot="1" x14ac:dyDescent="0.35">
      <c r="J5" s="72"/>
      <c r="K5" s="83">
        <f>MROUND(Démarrage!N13*0.93,(Démarrage!N22))</f>
        <v>210</v>
      </c>
      <c r="L5" s="84">
        <v>0</v>
      </c>
      <c r="M5" s="85">
        <f>MROUND((K5*L5*0.0333)+K5,Démarrage!N22)</f>
        <v>210</v>
      </c>
      <c r="O5" s="72"/>
      <c r="P5" s="83">
        <f>MROUND(Démarrage!N14*0.93,(Démarrage!N22))</f>
        <v>140</v>
      </c>
      <c r="Q5" s="84">
        <v>0</v>
      </c>
      <c r="R5" s="85">
        <f>MROUND((P5*Q5*0.0333)+P5,Démarrage!N22)</f>
        <v>140</v>
      </c>
      <c r="T5" s="72"/>
      <c r="U5" s="83">
        <f>MROUND(Démarrage!N15*0.925,(Démarrage!N22))</f>
        <v>267.5</v>
      </c>
      <c r="V5" s="84">
        <v>0</v>
      </c>
      <c r="W5" s="85">
        <f>MROUND((U5*V5*0.0333)+U5,Démarrage!N22)</f>
        <v>267.5</v>
      </c>
    </row>
    <row r="6" spans="7:23" x14ac:dyDescent="0.3"/>
    <row r="7" spans="7:23" x14ac:dyDescent="0.3"/>
    <row r="8" spans="7:23" x14ac:dyDescent="0.3"/>
    <row r="9" spans="7:23" ht="19.5" x14ac:dyDescent="0.35">
      <c r="H9" s="73" t="s">
        <v>54</v>
      </c>
      <c r="I9" s="73"/>
      <c r="J9" s="74"/>
      <c r="K9" s="68" t="s">
        <v>55</v>
      </c>
    </row>
    <row r="10" spans="7:23" x14ac:dyDescent="0.3"/>
    <row r="11" spans="7:23" x14ac:dyDescent="0.3"/>
    <row r="12" spans="7:23" ht="19.5" x14ac:dyDescent="0.35">
      <c r="H12" s="73" t="s">
        <v>58</v>
      </c>
      <c r="I12" s="73"/>
      <c r="J12" s="74"/>
      <c r="K12" s="68" t="s">
        <v>103</v>
      </c>
    </row>
    <row r="13" spans="7:23" x14ac:dyDescent="0.3">
      <c r="K13" s="68" t="s">
        <v>102</v>
      </c>
    </row>
    <row r="14" spans="7:23" x14ac:dyDescent="0.3">
      <c r="K14" s="68" t="s">
        <v>104</v>
      </c>
    </row>
    <row r="15" spans="7:23" x14ac:dyDescent="0.3"/>
    <row r="16" spans="7:23" x14ac:dyDescent="0.3"/>
    <row r="17" spans="1:17" x14ac:dyDescent="0.3"/>
    <row r="18" spans="1:17" ht="16.5" x14ac:dyDescent="0.3">
      <c r="H18" s="75" t="s">
        <v>95</v>
      </c>
    </row>
    <row r="19" spans="1:17" ht="15" customHeight="1" x14ac:dyDescent="0.3">
      <c r="B19" s="76" t="s">
        <v>53</v>
      </c>
      <c r="C19" s="76"/>
      <c r="D19" s="76"/>
      <c r="E19" s="76"/>
    </row>
    <row r="20" spans="1:17" ht="15" customHeight="1" x14ac:dyDescent="0.3">
      <c r="B20" s="76"/>
      <c r="C20" s="76"/>
      <c r="D20" s="76"/>
      <c r="E20" s="76"/>
    </row>
    <row r="21" spans="1:17" ht="15" customHeight="1" x14ac:dyDescent="0.35">
      <c r="B21" s="77"/>
      <c r="C21" s="77"/>
      <c r="D21" s="77"/>
      <c r="E21" s="77"/>
      <c r="I21" s="78" t="s">
        <v>99</v>
      </c>
      <c r="J21" s="78"/>
      <c r="K21" s="78"/>
      <c r="L21" s="82" t="s">
        <v>59</v>
      </c>
      <c r="M21" s="82"/>
      <c r="N21" s="82"/>
      <c r="O21" s="82"/>
      <c r="P21" s="82"/>
      <c r="Q21" s="82"/>
    </row>
    <row r="22" spans="1:17" ht="15" customHeight="1" x14ac:dyDescent="0.3"/>
    <row r="23" spans="1:17" ht="15" customHeight="1" x14ac:dyDescent="0.5">
      <c r="B23" s="79"/>
      <c r="C23" s="79"/>
      <c r="D23" s="79"/>
      <c r="E23" s="79"/>
      <c r="I23" s="80" t="s">
        <v>100</v>
      </c>
      <c r="J23" s="80"/>
      <c r="K23" s="80"/>
      <c r="L23" s="80"/>
      <c r="M23" s="81" t="s">
        <v>101</v>
      </c>
      <c r="N23" s="81"/>
      <c r="O23" s="81"/>
      <c r="P23" s="81"/>
    </row>
    <row r="24" spans="1:17" x14ac:dyDescent="0.3">
      <c r="A24" s="68"/>
      <c r="B24" s="68"/>
      <c r="C24" s="68"/>
      <c r="D24" s="68"/>
      <c r="E24" s="68"/>
    </row>
    <row r="25" spans="1:17" ht="15" customHeight="1" x14ac:dyDescent="0.3">
      <c r="A25" s="68"/>
      <c r="B25" s="68"/>
      <c r="C25" s="68"/>
      <c r="D25" s="68"/>
      <c r="E25" s="68"/>
    </row>
    <row r="26" spans="1:17" ht="15" customHeight="1" x14ac:dyDescent="0.3">
      <c r="A26" s="68"/>
      <c r="B26" s="68"/>
      <c r="C26" s="68"/>
      <c r="D26" s="68"/>
      <c r="E26" s="68"/>
    </row>
    <row r="27" spans="1:17" x14ac:dyDescent="0.3">
      <c r="A27" s="68"/>
      <c r="B27" s="68"/>
      <c r="C27" s="68"/>
      <c r="D27" s="68"/>
      <c r="E27" s="68"/>
    </row>
    <row r="28" spans="1:17" x14ac:dyDescent="0.3"/>
    <row r="29" spans="1:17" x14ac:dyDescent="0.3"/>
    <row r="30" spans="1:17" x14ac:dyDescent="0.3"/>
    <row r="31" spans="1:17" x14ac:dyDescent="0.3"/>
    <row r="32" spans="1:17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</sheetData>
  <sheetProtection selectLockedCells="1"/>
  <mergeCells count="9">
    <mergeCell ref="K3:M3"/>
    <mergeCell ref="P3:R3"/>
    <mergeCell ref="U3:W3"/>
    <mergeCell ref="B23:E23"/>
    <mergeCell ref="H9:I9"/>
    <mergeCell ref="H12:I12"/>
    <mergeCell ref="L21:Q21"/>
    <mergeCell ref="M23:P23"/>
    <mergeCell ref="B19:E20"/>
  </mergeCells>
  <hyperlinks>
    <hyperlink ref="L21" r:id="rId1" xr:uid="{00000000-0004-0000-0300-000000000000}"/>
    <hyperlink ref="M23:P23" r:id="rId2" display="Atlas_pwr" xr:uid="{00000000-0004-0000-0300-000001000000}"/>
    <hyperlink ref="B19:E20" r:id="rId3" display="https://www.atlascoaching.net" xr:uid="{6AA6EC59-A17E-46B5-9447-2CA213B32F4A}"/>
  </hyperlinks>
  <pageMargins left="0.7" right="0.7" top="0.75" bottom="0.75" header="0.3" footer="0.3"/>
  <pageSetup orientation="portrait" horizontalDpi="300" verticalDpi="3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Démarrage</vt:lpstr>
      <vt:lpstr>Version Tradi</vt:lpstr>
      <vt:lpstr>Version Sumo</vt:lpstr>
      <vt:lpstr>Ensuite...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2022-07-10T13:33:06Z</dcterms:modified>
</cp:coreProperties>
</file>